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harts/chart1.xml" ContentType="application/vnd.openxmlformats-officedocument.drawingml.chart+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codeName="ThisWorkbook"/>
  <mc:AlternateContent xmlns:mc="http://schemas.openxmlformats.org/markup-compatibility/2006">
    <mc:Choice Requires="x15">
      <x15ac:absPath xmlns:x15ac="http://schemas.microsoft.com/office/spreadsheetml/2010/11/ac" url="C:\Users\FJ.SGPDOM\Downloads\"/>
    </mc:Choice>
  </mc:AlternateContent>
  <xr:revisionPtr revIDLastSave="0" documentId="8_{3437CE16-24AC-4FE3-9B74-6758A3F3DD3D}" xr6:coauthVersionLast="46" xr6:coauthVersionMax="46" xr10:uidLastSave="{00000000-0000-0000-0000-000000000000}"/>
  <bookViews>
    <workbookView xWindow="-108" yWindow="-108" windowWidth="23256" windowHeight="12720" activeTab="2" xr2:uid="{00000000-000D-0000-FFFF-FFFF00000000}"/>
  </bookViews>
  <sheets>
    <sheet name="Introduksjon" sheetId="29" r:id="rId1"/>
    <sheet name="Varme" sheetId="28" r:id="rId2"/>
    <sheet name="3-rørs system" sheetId="36" r:id="rId3"/>
    <sheet name="Bereder" sheetId="30" r:id="rId4"/>
    <sheet name="Solar" sheetId="32" r:id="rId5"/>
    <sheet name="Tappevann" sheetId="33" r:id="rId6"/>
    <sheet name="Vannmengde" sheetId="25" r:id="rId7"/>
    <sheet name="Ekspansjon" sheetId="26" state="hidden" r:id="rId8"/>
    <sheet name="Kompressor-kar" sheetId="23" state="hidden" r:id="rId9"/>
    <sheet name="Diagram" sheetId="24" state="hidden" r:id="rId10"/>
    <sheet name="Data" sheetId="19" state="hidden" r:id="rId11"/>
    <sheet name="Variomat" sheetId="35" state="hidden" r:id="rId12"/>
  </sheets>
  <definedNames>
    <definedName name="_xlnm._FilterDatabase" localSheetId="11" hidden="1">Variomat!#REF!</definedName>
    <definedName name="_xlnm.Criteria" localSheetId="11">Variomat!$E$2:$E$3</definedName>
    <definedName name="dPp">Solar!$D$16</definedName>
    <definedName name="Effekt">Ekspansjon!$D$32</definedName>
    <definedName name="ekspansjon" localSheetId="5">Ekspansjon!$D$5</definedName>
    <definedName name="ekspansjon">Ekspansjon!$D$5</definedName>
    <definedName name="Ekspansjonbereder" localSheetId="2">'3-rørs system'!$E$9</definedName>
    <definedName name="Ekspansjonbereder" localSheetId="5">Bereder!$E$8</definedName>
    <definedName name="Ekspansjonbereder">Bereder!$E$9</definedName>
    <definedName name="komptrykk" localSheetId="5">'Kompressor-kar'!$H$26</definedName>
    <definedName name="komptrykk">'Kompressor-kar'!$H$26</definedName>
    <definedName name="n">Solar!$K$21</definedName>
    <definedName name="P0">Solar!$D$18</definedName>
    <definedName name="Pd">Solar!$L$21</definedName>
    <definedName name="Pe">Solar!$D$20</definedName>
    <definedName name="Pst">Solar!$D$15</definedName>
    <definedName name="Psv">Solar!$D$19</definedName>
    <definedName name="Pumpeenhet">Variomat!$C$8</definedName>
    <definedName name="sikkblåseventil">Ekspansjon!$D$7</definedName>
    <definedName name="sikkstatisk">Ekspansjon!$D$8</definedName>
    <definedName name="solver_adj" localSheetId="9" hidden="1">Diagram!$B$32:$B$34</definedName>
    <definedName name="solver_adj" localSheetId="8" hidden="1">Diagram!$B$2:$B$4</definedName>
    <definedName name="solver_cvg" localSheetId="9" hidden="1">0.0001</definedName>
    <definedName name="solver_cvg" localSheetId="8" hidden="1">0.0001</definedName>
    <definedName name="solver_drv" localSheetId="9" hidden="1">1</definedName>
    <definedName name="solver_drv" localSheetId="8" hidden="1">1</definedName>
    <definedName name="solver_est" localSheetId="9" hidden="1">1</definedName>
    <definedName name="solver_est" localSheetId="8" hidden="1">1</definedName>
    <definedName name="solver_itr" localSheetId="9" hidden="1">100</definedName>
    <definedName name="solver_itr" localSheetId="8" hidden="1">100</definedName>
    <definedName name="solver_lin" localSheetId="9" hidden="1">2</definedName>
    <definedName name="solver_lin" localSheetId="8" hidden="1">2</definedName>
    <definedName name="solver_neg" localSheetId="9" hidden="1">2</definedName>
    <definedName name="solver_neg" localSheetId="8" hidden="1">2</definedName>
    <definedName name="solver_num" localSheetId="9" hidden="1">0</definedName>
    <definedName name="solver_num" localSheetId="8" hidden="1">0</definedName>
    <definedName name="solver_nwt" localSheetId="9" hidden="1">1</definedName>
    <definedName name="solver_nwt" localSheetId="8" hidden="1">1</definedName>
    <definedName name="solver_opt" localSheetId="9" hidden="1">Diagram!$A$38</definedName>
    <definedName name="solver_opt" localSheetId="8" hidden="1">Diagram!$A$8</definedName>
    <definedName name="solver_pre" localSheetId="9" hidden="1">0.000001</definedName>
    <definedName name="solver_pre" localSheetId="8" hidden="1">0.000001</definedName>
    <definedName name="solver_scl" localSheetId="9" hidden="1">2</definedName>
    <definedName name="solver_scl" localSheetId="8" hidden="1">2</definedName>
    <definedName name="solver_sho" localSheetId="9" hidden="1">2</definedName>
    <definedName name="solver_sho" localSheetId="8" hidden="1">2</definedName>
    <definedName name="solver_tim" localSheetId="9" hidden="1">100</definedName>
    <definedName name="solver_tim" localSheetId="8" hidden="1">100</definedName>
    <definedName name="solver_tol" localSheetId="9" hidden="1">0.05</definedName>
    <definedName name="solver_tol" localSheetId="8" hidden="1">0.05</definedName>
    <definedName name="solver_typ" localSheetId="9" hidden="1">2</definedName>
    <definedName name="solver_typ" localSheetId="8" hidden="1">2</definedName>
    <definedName name="solver_val" localSheetId="9" hidden="1">0</definedName>
    <definedName name="solver_val" localSheetId="8" hidden="1">0</definedName>
    <definedName name="ta">Solar!$D$12</definedName>
    <definedName name="tv">Solar!$D$11</definedName>
    <definedName name="_xlnm.Print_Area" localSheetId="1">Varme!$B$2:$H$43</definedName>
    <definedName name="_xlnm.Extract" localSheetId="11">Variomat!$A$25:$H$25</definedName>
    <definedName name="Va">Solar!$D$9</definedName>
    <definedName name="vannmengde" localSheetId="5">Vannmengde!$D$6</definedName>
    <definedName name="vannmengde">Vannmengde!$D$6</definedName>
    <definedName name="Variomat">Variomat!$C$7</definedName>
    <definedName name="Ve">Solar!$D$25</definedName>
    <definedName name="Vk">Solar!$D$6</definedName>
    <definedName name="Vn">Solar!$D$26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30" l="1"/>
  <c r="J61" i="36" l="1"/>
  <c r="J60" i="36"/>
  <c r="J59" i="36"/>
  <c r="J58" i="36"/>
  <c r="J57" i="36"/>
  <c r="J56" i="36"/>
  <c r="J55" i="36"/>
  <c r="J54" i="36"/>
  <c r="J53" i="36"/>
  <c r="J52" i="36"/>
  <c r="J51" i="36"/>
  <c r="J50" i="36"/>
  <c r="J47" i="36"/>
  <c r="J48" i="36"/>
  <c r="J49" i="36"/>
  <c r="I61" i="36"/>
  <c r="I60" i="36"/>
  <c r="I62" i="36"/>
  <c r="I59" i="36"/>
  <c r="I58" i="36"/>
  <c r="I57" i="36"/>
  <c r="I56" i="36"/>
  <c r="I55" i="36"/>
  <c r="I54" i="36"/>
  <c r="I53" i="36"/>
  <c r="I52" i="36"/>
  <c r="I51" i="36"/>
  <c r="I50" i="36"/>
  <c r="I49" i="36"/>
  <c r="I48" i="36"/>
  <c r="I47" i="36"/>
  <c r="E28" i="36"/>
  <c r="E12" i="36"/>
  <c r="E15" i="36" s="1"/>
  <c r="E5" i="36"/>
  <c r="C4" i="35" l="1"/>
  <c r="G12" i="25" l="1"/>
  <c r="E28" i="30" l="1"/>
  <c r="D5" i="32"/>
  <c r="AA19" i="26" l="1"/>
  <c r="AA18" i="26"/>
  <c r="AA17" i="26"/>
  <c r="AA16" i="26"/>
  <c r="AA15" i="26"/>
  <c r="AA14" i="26"/>
  <c r="AA13" i="26"/>
  <c r="W26" i="26"/>
  <c r="X26" i="26"/>
  <c r="D45" i="28" l="1"/>
  <c r="O46" i="28"/>
  <c r="C5" i="35"/>
  <c r="R29" i="25"/>
  <c r="R28" i="25"/>
  <c r="R27" i="25"/>
  <c r="R26" i="25"/>
  <c r="D10" i="26"/>
  <c r="B8" i="23" s="1"/>
  <c r="H26" i="23" s="1"/>
  <c r="O25" i="26"/>
  <c r="O24" i="26"/>
  <c r="O23" i="26"/>
  <c r="O22" i="26"/>
  <c r="O21" i="26"/>
  <c r="O20" i="26"/>
  <c r="O19" i="26"/>
  <c r="O18" i="26"/>
  <c r="O17" i="26"/>
  <c r="O16" i="26"/>
  <c r="O15" i="26"/>
  <c r="O14" i="26"/>
  <c r="O13" i="26"/>
  <c r="O12" i="26"/>
  <c r="O11" i="26"/>
  <c r="L44" i="26"/>
  <c r="L43" i="26"/>
  <c r="L42" i="26"/>
  <c r="L41" i="26"/>
  <c r="L40" i="26"/>
  <c r="L39" i="26"/>
  <c r="L38" i="26"/>
  <c r="L37" i="26"/>
  <c r="L36" i="26"/>
  <c r="L35" i="26"/>
  <c r="L34" i="26"/>
  <c r="L33" i="26"/>
  <c r="L32" i="26"/>
  <c r="L31" i="26"/>
  <c r="L30" i="26"/>
  <c r="E17" i="28"/>
  <c r="F57" i="33"/>
  <c r="F56" i="33"/>
  <c r="F55" i="33"/>
  <c r="F54" i="33"/>
  <c r="F53" i="33"/>
  <c r="F52" i="33"/>
  <c r="F51" i="33"/>
  <c r="F50" i="33"/>
  <c r="F49" i="33"/>
  <c r="F48" i="33"/>
  <c r="F47" i="33"/>
  <c r="F46" i="33"/>
  <c r="F45" i="33"/>
  <c r="F44" i="33"/>
  <c r="F43" i="33"/>
  <c r="F42" i="33"/>
  <c r="F41" i="33"/>
  <c r="M16" i="33"/>
  <c r="N15" i="33"/>
  <c r="K15" i="33"/>
  <c r="N14" i="33"/>
  <c r="K14" i="33"/>
  <c r="N13" i="33"/>
  <c r="K13" i="33"/>
  <c r="N12" i="33"/>
  <c r="K12" i="33"/>
  <c r="N11" i="33"/>
  <c r="K11" i="33"/>
  <c r="N10" i="33"/>
  <c r="K10" i="33"/>
  <c r="J16" i="33" s="1"/>
  <c r="E10" i="33" s="1"/>
  <c r="E19" i="33" s="1"/>
  <c r="E20" i="33" s="1"/>
  <c r="N9" i="33"/>
  <c r="K9" i="33"/>
  <c r="N8" i="33"/>
  <c r="K8" i="33"/>
  <c r="C8" i="33"/>
  <c r="N7" i="33"/>
  <c r="K7" i="33"/>
  <c r="K6" i="33"/>
  <c r="D6" i="32"/>
  <c r="D20" i="32"/>
  <c r="D31" i="32" s="1"/>
  <c r="K21" i="32"/>
  <c r="L21" i="32"/>
  <c r="D18" i="32" s="1"/>
  <c r="B37" i="26" s="1"/>
  <c r="D9" i="32"/>
  <c r="D23" i="32" s="1"/>
  <c r="E14" i="28"/>
  <c r="E5" i="30"/>
  <c r="E12" i="30"/>
  <c r="E15" i="30" s="1"/>
  <c r="I57" i="30"/>
  <c r="I58" i="30"/>
  <c r="I59" i="30"/>
  <c r="I60" i="30"/>
  <c r="I61" i="30"/>
  <c r="I62" i="30"/>
  <c r="I63" i="30"/>
  <c r="I56" i="30"/>
  <c r="I55" i="30"/>
  <c r="I54" i="30"/>
  <c r="I53" i="30"/>
  <c r="I52" i="30"/>
  <c r="I51" i="30"/>
  <c r="I50" i="30"/>
  <c r="I49" i="30"/>
  <c r="I48" i="30"/>
  <c r="I47" i="30"/>
  <c r="B7" i="24"/>
  <c r="B8" i="24" s="1"/>
  <c r="C7" i="24"/>
  <c r="C8" i="24" s="1"/>
  <c r="D7" i="24"/>
  <c r="D8" i="24" s="1"/>
  <c r="E7" i="24"/>
  <c r="E8" i="24" s="1"/>
  <c r="F7" i="24"/>
  <c r="F8" i="24" s="1"/>
  <c r="G7" i="24"/>
  <c r="G8" i="24" s="1"/>
  <c r="H7" i="24"/>
  <c r="H8" i="24"/>
  <c r="I7" i="24"/>
  <c r="I8" i="24" s="1"/>
  <c r="B17" i="24"/>
  <c r="B18" i="24" s="1"/>
  <c r="C17" i="24"/>
  <c r="C18" i="24" s="1"/>
  <c r="D17" i="24"/>
  <c r="D18" i="24" s="1"/>
  <c r="E17" i="24"/>
  <c r="E18" i="24" s="1"/>
  <c r="F17" i="24"/>
  <c r="F18" i="24" s="1"/>
  <c r="G17" i="24"/>
  <c r="G18" i="24" s="1"/>
  <c r="H17" i="24"/>
  <c r="H18" i="24" s="1"/>
  <c r="I17" i="24"/>
  <c r="I18" i="24" s="1"/>
  <c r="J17" i="24"/>
  <c r="J18" i="24" s="1"/>
  <c r="K17" i="24"/>
  <c r="K18" i="24" s="1"/>
  <c r="L17" i="24"/>
  <c r="L18" i="24" s="1"/>
  <c r="B27" i="24"/>
  <c r="B28" i="24" s="1"/>
  <c r="C27" i="24"/>
  <c r="C28" i="24" s="1"/>
  <c r="D27" i="24"/>
  <c r="D28" i="24" s="1"/>
  <c r="E27" i="24"/>
  <c r="E28" i="24" s="1"/>
  <c r="F27" i="24"/>
  <c r="F28" i="24"/>
  <c r="G27" i="24"/>
  <c r="G28" i="24" s="1"/>
  <c r="H27" i="24"/>
  <c r="H28" i="24" s="1"/>
  <c r="I27" i="24"/>
  <c r="I28" i="24" s="1"/>
  <c r="J27" i="24"/>
  <c r="J28" i="24" s="1"/>
  <c r="K27" i="24"/>
  <c r="K28" i="24" s="1"/>
  <c r="L27" i="24"/>
  <c r="L28" i="24" s="1"/>
  <c r="B37" i="24"/>
  <c r="B38" i="24" s="1"/>
  <c r="C37" i="24"/>
  <c r="C38" i="24" s="1"/>
  <c r="D37" i="24"/>
  <c r="D38" i="24" s="1"/>
  <c r="E37" i="24"/>
  <c r="E38" i="24" s="1"/>
  <c r="F37" i="24"/>
  <c r="F38" i="24" s="1"/>
  <c r="G37" i="24"/>
  <c r="G38" i="24" s="1"/>
  <c r="H37" i="24"/>
  <c r="H38" i="24" s="1"/>
  <c r="I37" i="24"/>
  <c r="I38" i="24" s="1"/>
  <c r="J37" i="24"/>
  <c r="J38" i="24"/>
  <c r="K37" i="24"/>
  <c r="K38" i="24" s="1"/>
  <c r="L37" i="24"/>
  <c r="L38" i="24" s="1"/>
  <c r="B47" i="24"/>
  <c r="B48" i="24" s="1"/>
  <c r="C47" i="24"/>
  <c r="C48" i="24" s="1"/>
  <c r="D47" i="24"/>
  <c r="D48" i="24" s="1"/>
  <c r="E47" i="24"/>
  <c r="E48" i="24" s="1"/>
  <c r="F47" i="24"/>
  <c r="F48" i="24" s="1"/>
  <c r="G47" i="24"/>
  <c r="G48" i="24" s="1"/>
  <c r="H47" i="24"/>
  <c r="H48" i="24" s="1"/>
  <c r="I47" i="24"/>
  <c r="I48" i="24"/>
  <c r="J47" i="24"/>
  <c r="J48" i="24" s="1"/>
  <c r="K47" i="24"/>
  <c r="K48" i="24" s="1"/>
  <c r="L47" i="24"/>
  <c r="L48" i="24" s="1"/>
  <c r="D3" i="26"/>
  <c r="L7" i="26" s="1"/>
  <c r="E9" i="36" s="1"/>
  <c r="E16" i="36" s="1"/>
  <c r="D4" i="26"/>
  <c r="B5" i="23" s="1"/>
  <c r="B6" i="23" s="1"/>
  <c r="L11" i="26"/>
  <c r="D11" i="26"/>
  <c r="L12" i="26"/>
  <c r="L13" i="26"/>
  <c r="Z13" i="26"/>
  <c r="L14" i="26"/>
  <c r="Z14" i="26"/>
  <c r="Z15" i="26"/>
  <c r="L16" i="26"/>
  <c r="Z16" i="26"/>
  <c r="L17" i="26"/>
  <c r="L18" i="26"/>
  <c r="Z17" i="26"/>
  <c r="L19" i="26"/>
  <c r="L20" i="26"/>
  <c r="Z18" i="26"/>
  <c r="L21" i="26"/>
  <c r="L22" i="26"/>
  <c r="Z19" i="26"/>
  <c r="L23" i="26"/>
  <c r="L24" i="26"/>
  <c r="L25" i="26"/>
  <c r="L26" i="26"/>
  <c r="L27" i="26"/>
  <c r="D28" i="26"/>
  <c r="S26" i="26"/>
  <c r="T26" i="26"/>
  <c r="U26" i="26"/>
  <c r="V26" i="26"/>
  <c r="D29" i="26"/>
  <c r="D30" i="26"/>
  <c r="D31" i="26"/>
  <c r="H6" i="23"/>
  <c r="H20" i="23"/>
  <c r="H21" i="23"/>
  <c r="H22" i="23"/>
  <c r="H23" i="23"/>
  <c r="H24" i="23"/>
  <c r="G13" i="25"/>
  <c r="M15" i="25"/>
  <c r="O25" i="25"/>
  <c r="O26" i="25"/>
  <c r="P26" i="25"/>
  <c r="Q26" i="25"/>
  <c r="O27" i="25"/>
  <c r="P27" i="25"/>
  <c r="Q27" i="25"/>
  <c r="O28" i="25"/>
  <c r="P28" i="25"/>
  <c r="Q28" i="25"/>
  <c r="O29" i="25"/>
  <c r="P29" i="25"/>
  <c r="Q29" i="25"/>
  <c r="O30" i="25"/>
  <c r="P30" i="25"/>
  <c r="Q30" i="25"/>
  <c r="O31" i="25"/>
  <c r="P31" i="25"/>
  <c r="Q31" i="25"/>
  <c r="B48" i="25"/>
  <c r="C48" i="25"/>
  <c r="D48" i="25"/>
  <c r="J50" i="25"/>
  <c r="J51" i="25"/>
  <c r="J52" i="25"/>
  <c r="B63" i="25"/>
  <c r="C63" i="25"/>
  <c r="D63" i="25"/>
  <c r="J65" i="25"/>
  <c r="J66" i="25"/>
  <c r="J67" i="25"/>
  <c r="D75" i="25"/>
  <c r="J73" i="25" s="1"/>
  <c r="D5" i="25" s="1"/>
  <c r="D78" i="25"/>
  <c r="E45" i="28"/>
  <c r="F17" i="36" l="1"/>
  <c r="E17" i="36"/>
  <c r="L58" i="25"/>
  <c r="L59" i="25" s="1"/>
  <c r="E66" i="25" s="1"/>
  <c r="A18" i="24"/>
  <c r="L43" i="25"/>
  <c r="E51" i="25" s="1"/>
  <c r="E52" i="25"/>
  <c r="E28" i="26"/>
  <c r="D32" i="26"/>
  <c r="AC20" i="26"/>
  <c r="AB20" i="26"/>
  <c r="T20" i="26"/>
  <c r="T21" i="26" s="1"/>
  <c r="AF20" i="26"/>
  <c r="V20" i="26"/>
  <c r="V23" i="26" s="1"/>
  <c r="AD20" i="26"/>
  <c r="Y20" i="26"/>
  <c r="Y22" i="26" s="1"/>
  <c r="X20" i="26"/>
  <c r="X21" i="26" s="1"/>
  <c r="W20" i="26"/>
  <c r="W24" i="26" s="1"/>
  <c r="U20" i="26"/>
  <c r="U22" i="26" s="1"/>
  <c r="AE20" i="26"/>
  <c r="AG20" i="26"/>
  <c r="M14" i="25"/>
  <c r="E16" i="30"/>
  <c r="E17" i="30" s="1"/>
  <c r="D25" i="32"/>
  <c r="D32" i="32" s="1"/>
  <c r="D37" i="26"/>
  <c r="F37" i="26" s="1"/>
  <c r="F33" i="28" s="1"/>
  <c r="E31" i="26"/>
  <c r="E30" i="26"/>
  <c r="E29" i="26"/>
  <c r="AB24" i="26"/>
  <c r="AB23" i="26"/>
  <c r="AB22" i="26"/>
  <c r="AB21" i="26"/>
  <c r="C21" i="23"/>
  <c r="C23" i="23"/>
  <c r="B23" i="23"/>
  <c r="G20" i="23" s="1"/>
  <c r="B21" i="23"/>
  <c r="G22" i="23" s="1"/>
  <c r="B20" i="23"/>
  <c r="G23" i="23" s="1"/>
  <c r="C22" i="23"/>
  <c r="B22" i="23"/>
  <c r="G21" i="23" s="1"/>
  <c r="B19" i="23"/>
  <c r="G24" i="23" s="1"/>
  <c r="F21" i="33"/>
  <c r="E21" i="33"/>
  <c r="A8" i="24"/>
  <c r="D26" i="32"/>
  <c r="D28" i="32" s="1"/>
  <c r="E67" i="25"/>
  <c r="E65" i="25"/>
  <c r="A28" i="24"/>
  <c r="A48" i="24"/>
  <c r="A38" i="24"/>
  <c r="D14" i="26"/>
  <c r="C20" i="23"/>
  <c r="E50" i="25" l="1"/>
  <c r="E53" i="25" s="1"/>
  <c r="D3" i="25" s="1"/>
  <c r="W23" i="26"/>
  <c r="U24" i="26"/>
  <c r="U23" i="26"/>
  <c r="U21" i="26"/>
  <c r="H18" i="35"/>
  <c r="J18" i="35" s="1"/>
  <c r="H22" i="35"/>
  <c r="J22" i="35" s="1"/>
  <c r="I19" i="35"/>
  <c r="H24" i="35"/>
  <c r="J24" i="35" s="1"/>
  <c r="I20" i="35"/>
  <c r="H21" i="35"/>
  <c r="J21" i="35" s="1"/>
  <c r="I18" i="35"/>
  <c r="I22" i="35"/>
  <c r="H23" i="35"/>
  <c r="J23" i="35" s="1"/>
  <c r="H20" i="35"/>
  <c r="J20" i="35" s="1"/>
  <c r="I16" i="35"/>
  <c r="H17" i="35"/>
  <c r="J17" i="35" s="1"/>
  <c r="H19" i="35"/>
  <c r="J19" i="35" s="1"/>
  <c r="H16" i="35"/>
  <c r="J16" i="35" s="1"/>
  <c r="I24" i="35"/>
  <c r="I21" i="35"/>
  <c r="I23" i="35"/>
  <c r="I17" i="35"/>
  <c r="C3" i="35"/>
  <c r="I15" i="35"/>
  <c r="I14" i="35"/>
  <c r="H15" i="35"/>
  <c r="H13" i="35"/>
  <c r="I13" i="35"/>
  <c r="H14" i="35"/>
  <c r="T22" i="26"/>
  <c r="V24" i="26"/>
  <c r="V22" i="26"/>
  <c r="X24" i="26"/>
  <c r="X23" i="26"/>
  <c r="Y23" i="26"/>
  <c r="V21" i="26"/>
  <c r="X22" i="26"/>
  <c r="Y21" i="26"/>
  <c r="Y24" i="26"/>
  <c r="F17" i="30"/>
  <c r="G14" i="25"/>
  <c r="G18" i="25" s="1"/>
  <c r="T23" i="26"/>
  <c r="T24" i="26"/>
  <c r="W21" i="26"/>
  <c r="W22" i="26"/>
  <c r="D33" i="32"/>
  <c r="D34" i="32" s="1"/>
  <c r="E33" i="28"/>
  <c r="D29" i="32"/>
  <c r="B9" i="23"/>
  <c r="B16" i="23" s="1"/>
  <c r="B14" i="23" s="1"/>
  <c r="B15" i="23" s="1"/>
  <c r="E68" i="25"/>
  <c r="D4" i="25" s="1"/>
  <c r="J15" i="35" l="1"/>
  <c r="J14" i="35"/>
  <c r="Z21" i="26"/>
  <c r="F28" i="26" s="1"/>
  <c r="D2" i="25"/>
  <c r="D6" i="25" s="1"/>
  <c r="E5" i="28" s="1"/>
  <c r="M13" i="25"/>
  <c r="Z24" i="26"/>
  <c r="F31" i="26" s="1"/>
  <c r="I31" i="26" s="1"/>
  <c r="Z23" i="26"/>
  <c r="F30" i="26" s="1"/>
  <c r="I30" i="26" s="1"/>
  <c r="H30" i="26" s="1"/>
  <c r="Z22" i="26"/>
  <c r="F29" i="26" s="1"/>
  <c r="I29" i="26" s="1"/>
  <c r="D22" i="26"/>
  <c r="F22" i="26" s="1"/>
  <c r="F26" i="28" s="1"/>
  <c r="B10" i="23" l="1"/>
  <c r="D2" i="26"/>
  <c r="G5" i="26" s="1"/>
  <c r="H31" i="26"/>
  <c r="G31" i="26"/>
  <c r="G30" i="26"/>
  <c r="J30" i="26" s="1"/>
  <c r="F40" i="28" s="1"/>
  <c r="G29" i="26"/>
  <c r="H29" i="26"/>
  <c r="I28" i="26"/>
  <c r="E26" i="28"/>
  <c r="G4" i="26" l="1"/>
  <c r="D5" i="26" s="1"/>
  <c r="B11" i="23" s="1"/>
  <c r="B12" i="23" s="1"/>
  <c r="D21" i="26" s="1"/>
  <c r="J31" i="26"/>
  <c r="F41" i="28" s="1"/>
  <c r="G28" i="26"/>
  <c r="H28" i="26"/>
  <c r="J29" i="26"/>
  <c r="F39" i="28" s="1"/>
  <c r="F42" i="28"/>
  <c r="C6" i="35" l="1"/>
  <c r="C7" i="35" s="1"/>
  <c r="D24" i="26" s="1"/>
  <c r="E31" i="28" s="1"/>
  <c r="E11" i="28"/>
  <c r="P46" i="28" s="1"/>
  <c r="Q46" i="28" s="1"/>
  <c r="D15" i="26"/>
  <c r="D16" i="26" s="1"/>
  <c r="E19" i="28" s="1"/>
  <c r="J28" i="26"/>
  <c r="F38" i="28" s="1"/>
  <c r="E24" i="28"/>
  <c r="F21" i="26"/>
  <c r="F24" i="28" s="1"/>
  <c r="E18" i="28" l="1"/>
  <c r="F24" i="26"/>
  <c r="F31" i="28" s="1"/>
  <c r="D17" i="26"/>
  <c r="F16" i="26"/>
  <c r="F17" i="26" l="1"/>
  <c r="F21" i="28" s="1"/>
  <c r="F19" i="28"/>
  <c r="J13" i="35"/>
  <c r="K13" i="35" s="1"/>
  <c r="K14" i="35" l="1"/>
  <c r="A14" i="35" s="1"/>
  <c r="K15" i="35" l="1"/>
  <c r="A15" i="35" s="1"/>
  <c r="K16" i="35" l="1"/>
  <c r="A16" i="35" s="1"/>
  <c r="K17" i="35" l="1"/>
  <c r="A17" i="35" s="1"/>
  <c r="K18" i="35" l="1"/>
  <c r="A18" i="35" s="1"/>
  <c r="K19" i="35" l="1"/>
  <c r="A19" i="35" s="1"/>
  <c r="K20" i="35" l="1"/>
  <c r="A20" i="35" s="1"/>
  <c r="K21" i="35" l="1"/>
  <c r="A21" i="35" s="1"/>
  <c r="K22" i="35" l="1"/>
  <c r="A22" i="35" s="1"/>
  <c r="K23" i="35" l="1"/>
  <c r="A23" i="35" s="1"/>
  <c r="K24" i="35" l="1"/>
  <c r="K10" i="35" s="1"/>
  <c r="A24" i="35" l="1"/>
  <c r="C8" i="35"/>
  <c r="D25" i="26" s="1"/>
  <c r="F25" i="26" s="1"/>
  <c r="F32" i="28" s="1"/>
  <c r="E32"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JHG</author>
    <author>Jo Helge Gilje</author>
  </authors>
  <commentList>
    <comment ref="E5" authorId="0" shapeId="0" xr:uid="{00000000-0006-0000-0100-000001000000}">
      <text>
        <r>
          <rPr>
            <sz val="8"/>
            <color indexed="81"/>
            <rFont val="Tahoma"/>
            <family val="2"/>
          </rPr>
          <t>Inkluderer vannmengde som tastet inn over</t>
        </r>
      </text>
    </comment>
    <comment ref="E9" authorId="1" shapeId="0" xr:uid="{00000000-0006-0000-0100-000002000000}">
      <text>
        <r>
          <rPr>
            <b/>
            <sz val="9"/>
            <color indexed="81"/>
            <rFont val="Tahoma"/>
            <family val="2"/>
          </rPr>
          <t>Jo Helge Gilje:</t>
        </r>
        <r>
          <rPr>
            <sz val="9"/>
            <color indexed="81"/>
            <rFont val="Tahoma"/>
            <family val="2"/>
          </rPr>
          <t xml:space="preserve">
Som en forsiktighet  benytter SGP alltid turtemperaturen i beregning av ekspansjonskaret. Det teoretisk riktige vil være å benytte gjennomsnittlig temperatur.</t>
        </r>
      </text>
    </comment>
    <comment ref="D24" authorId="0" shapeId="0" xr:uid="{00000000-0006-0000-0100-000003000000}">
      <text>
        <r>
          <rPr>
            <sz val="8"/>
            <color indexed="81"/>
            <rFont val="Tahoma"/>
            <family val="2"/>
          </rPr>
          <t>Hovedkaret er selve karet som tar opp ekspansjonen. Karet kan suppleres med en eller flere slavetanker som bør være av samme størrelse som hovedkaret.
Nytteeffekten på et kompressorkar settes gjerne til 80% av ekspansjonsvolumet da dette gir betydelig lengre levetid. Dersom et kar står 100% fullt i for lang tid kan en oppleve at membranen ødelegges.</t>
        </r>
      </text>
    </comment>
    <comment ref="D26" authorId="0" shapeId="0" xr:uid="{00000000-0006-0000-0100-000004000000}">
      <text>
        <r>
          <rPr>
            <sz val="8"/>
            <color indexed="81"/>
            <rFont val="Tahoma"/>
            <family val="2"/>
          </rPr>
          <t>Automatikk med kompressor må tas ut i forhold til trykk og effektforhold.
Ved høye effekter og for liten kompressor vil ikke kompressoren klare å følge med når kjelen stanser, med mulighet for undertrykk i systemet og innsuging av luft.
VS90/1 kompressoren dekker et stort spekter kompressorer.
Det er mulig å få automatikkenheten utstyrt med 2 kompressorer. Programmet velger aldri denne løsningen, men den benyttes av og til dersom man ikke har 400 V tilgjengelig og trenger noe mer kapasitet enn VS90/1 kan gi (det er kun VS90 som går på 230 V).
I enkelte tilfeller munner også valget om 2 kompressorer på sikkerhetsperspektiv (backup), men dette er relativt uvanlig.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 Helge Gilje</author>
  </authors>
  <commentList>
    <comment ref="E12" authorId="0" shapeId="0" xr:uid="{00000000-0006-0000-0200-000001000000}">
      <text>
        <r>
          <rPr>
            <b/>
            <sz val="8"/>
            <color indexed="81"/>
            <rFont val="Tahoma"/>
            <family val="2"/>
          </rPr>
          <t>Jo Helge Gilje:</t>
        </r>
        <r>
          <rPr>
            <sz val="8"/>
            <color indexed="81"/>
            <rFont val="Tahoma"/>
            <family val="2"/>
          </rPr>
          <t xml:space="preserve">
Ladetrykk settes 0,5 bar under nett-trykket inn.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 Helge Gilje</author>
  </authors>
  <commentList>
    <comment ref="E12" authorId="0" shapeId="0" xr:uid="{00000000-0006-0000-0300-000001000000}">
      <text>
        <r>
          <rPr>
            <b/>
            <sz val="8"/>
            <color indexed="81"/>
            <rFont val="Tahoma"/>
            <family val="2"/>
          </rPr>
          <t>Jo Helge Gilje:</t>
        </r>
        <r>
          <rPr>
            <sz val="8"/>
            <color indexed="81"/>
            <rFont val="Tahoma"/>
            <family val="2"/>
          </rPr>
          <t xml:space="preserve">
Ladetrykk settes 0,5 bar under nett-trykket inn.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 Helge Gilje</author>
  </authors>
  <commentList>
    <comment ref="D8" authorId="0" shapeId="0" xr:uid="{00000000-0006-0000-0400-000001000000}">
      <text>
        <r>
          <rPr>
            <b/>
            <sz val="9"/>
            <color indexed="81"/>
            <rFont val="Tahoma"/>
            <family val="2"/>
          </rPr>
          <t>Jo Helge Gilje:</t>
        </r>
        <r>
          <rPr>
            <sz val="9"/>
            <color indexed="81"/>
            <rFont val="Tahoma"/>
            <family val="2"/>
          </rPr>
          <t xml:space="preserve">
Fyll inn lengder på rør under fanen "vannmengde" - eller tast inn verdi i cellen direkte om du kjenner volumet.</t>
        </r>
      </text>
    </comment>
    <comment ref="D16" authorId="0" shapeId="0" xr:uid="{00000000-0006-0000-0400-000002000000}">
      <text>
        <r>
          <rPr>
            <b/>
            <sz val="9"/>
            <color indexed="81"/>
            <rFont val="Tahoma"/>
            <family val="2"/>
          </rPr>
          <t>Jo Helge Gilje:</t>
        </r>
        <r>
          <rPr>
            <sz val="9"/>
            <color indexed="81"/>
            <rFont val="Tahoma"/>
            <family val="2"/>
          </rPr>
          <t xml:space="preserve">
Hvis kar er på trykksiden av pumpen.</t>
        </r>
      </text>
    </comment>
    <comment ref="D25" authorId="0" shapeId="0" xr:uid="{00000000-0006-0000-0400-000003000000}">
      <text>
        <r>
          <rPr>
            <b/>
            <sz val="9"/>
            <color indexed="81"/>
            <rFont val="Tahoma"/>
            <family val="2"/>
          </rPr>
          <t>Jo Helge Gilje:</t>
        </r>
        <r>
          <rPr>
            <sz val="9"/>
            <color indexed="81"/>
            <rFont val="Tahoma"/>
            <family val="2"/>
          </rPr>
          <t xml:space="preserve">
Indikerer ekspansjon i normaltilfellet, og tar ikke høyde for potensiell damputvikling i panelene.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 Helge Gilje</author>
    <author>Jo Helge</author>
  </authors>
  <commentList>
    <comment ref="D5" authorId="0" shapeId="0" xr:uid="{00000000-0006-0000-0700-000001000000}">
      <text>
        <r>
          <rPr>
            <b/>
            <sz val="9"/>
            <color indexed="81"/>
            <rFont val="Tahoma"/>
            <family val="2"/>
          </rPr>
          <t>Jo Helge Gilje:</t>
        </r>
        <r>
          <rPr>
            <sz val="9"/>
            <color indexed="81"/>
            <rFont val="Tahoma"/>
            <family val="2"/>
          </rPr>
          <t xml:space="preserve">
Inkluderer vannreserve på 0,5% ihht NS-EN 12828</t>
        </r>
      </text>
    </comment>
    <comment ref="D7" authorId="1" shapeId="0" xr:uid="{00000000-0006-0000-0700-000002000000}">
      <text>
        <r>
          <rPr>
            <sz val="8"/>
            <color indexed="81"/>
            <rFont val="Tahoma"/>
            <family val="2"/>
          </rPr>
          <t>I henhold til de foreslåtte nye EU-normer skal det trekkes fra 0,5 bar på sikkerhetsventilens blåsetrykk ved beregning av ekspansjonskar.</t>
        </r>
      </text>
    </comment>
    <comment ref="A17" authorId="1" shapeId="0" xr:uid="{00000000-0006-0000-0700-000003000000}">
      <text>
        <r>
          <rPr>
            <sz val="8"/>
            <color indexed="81"/>
            <rFont val="Tahoma"/>
            <family val="2"/>
          </rPr>
          <t>En serviceventil muliggjør enkel utestengelse av anlegget samtidig som man kan tømme karet. Dette er nødvendig for å foreta den anbefalte årlige service av karet for å sjekke ladetrykket.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 Helge Gilje</author>
  </authors>
  <commentList>
    <comment ref="F12" authorId="0" shapeId="0" xr:uid="{00000000-0006-0000-0B00-000001000000}">
      <text>
        <r>
          <rPr>
            <b/>
            <sz val="9"/>
            <color indexed="81"/>
            <rFont val="Tahoma"/>
            <family val="2"/>
          </rPr>
          <t>Jo Helge Gilje:</t>
        </r>
        <r>
          <rPr>
            <sz val="9"/>
            <color indexed="81"/>
            <rFont val="Tahoma"/>
            <family val="2"/>
          </rPr>
          <t xml:space="preserve">
hvor på aksen kurven krysser 0 MW (altså Y-kurven)</t>
        </r>
      </text>
    </comment>
  </commentList>
</comments>
</file>

<file path=xl/sharedStrings.xml><?xml version="1.0" encoding="utf-8"?>
<sst xmlns="http://schemas.openxmlformats.org/spreadsheetml/2006/main" count="867" uniqueCount="513">
  <si>
    <t>Vann</t>
  </si>
  <si>
    <t>Åpent eksp.kar sylindrisk:</t>
  </si>
  <si>
    <t>Vannvolum:</t>
  </si>
  <si>
    <t>liter</t>
  </si>
  <si>
    <t>Diameter m</t>
  </si>
  <si>
    <t>Høyde m</t>
  </si>
  <si>
    <t>Liter</t>
  </si>
  <si>
    <t>Åpent eksp.kar rektangulært</t>
  </si>
  <si>
    <t>Bredde m</t>
  </si>
  <si>
    <t>Dybde m</t>
  </si>
  <si>
    <t>Ekspansjonskarets nytteeffekt:</t>
  </si>
  <si>
    <t>Vanninnhold i:</t>
  </si>
  <si>
    <t>1) Kjele(r)</t>
  </si>
  <si>
    <t>(fyll inn tabell for kjeler)</t>
  </si>
  <si>
    <t>Vannmegde utom bereder       =</t>
  </si>
  <si>
    <t>2) Rør ( fyll inn tabell for rør)</t>
  </si>
  <si>
    <t>Vannmegde rør                      =</t>
  </si>
  <si>
    <t xml:space="preserve">3) Radiatorer </t>
  </si>
  <si>
    <t>Vannmegde kjel                     =</t>
  </si>
  <si>
    <t>4) Gulvvarmerør</t>
  </si>
  <si>
    <t>6) Andre tanker eller lignende</t>
  </si>
  <si>
    <t>Totalt vannmengde</t>
  </si>
  <si>
    <t>ELLER :</t>
  </si>
  <si>
    <t>Bare den totale vannmengde i anlegget</t>
  </si>
  <si>
    <t>RØRTABELL :</t>
  </si>
  <si>
    <t>Antall m</t>
  </si>
  <si>
    <t>DN</t>
  </si>
  <si>
    <t>Kjeletabell :</t>
  </si>
  <si>
    <t>Kjele nr 1</t>
  </si>
  <si>
    <t>Kjele nr 2</t>
  </si>
  <si>
    <t>Kjele nr 3</t>
  </si>
  <si>
    <t>Kjele nr 4</t>
  </si>
  <si>
    <t>Side 4</t>
  </si>
  <si>
    <t>kW</t>
  </si>
  <si>
    <t>Mcal</t>
  </si>
  <si>
    <t>Heteflate m2</t>
  </si>
  <si>
    <t>Total innfyrt effekt      =</t>
  </si>
  <si>
    <t xml:space="preserve">Kjele nr 1 </t>
  </si>
  <si>
    <t>Totalt</t>
  </si>
  <si>
    <t>Radiatorer, vanninnhold i liter</t>
  </si>
  <si>
    <t>Ledninger, vanninnhold i liter</t>
  </si>
  <si>
    <t>Kjele, vanninnhold i liter</t>
  </si>
  <si>
    <t>Tot  vanninhold i varmeanl. i liter</t>
  </si>
  <si>
    <t>Side 5</t>
  </si>
  <si>
    <t>Nytt anlegg x 0,8</t>
  </si>
  <si>
    <t>Side 6</t>
  </si>
  <si>
    <t>vann</t>
  </si>
  <si>
    <r>
      <t xml:space="preserve">b) </t>
    </r>
    <r>
      <rPr>
        <b/>
        <u/>
        <sz val="12"/>
        <rFont val="Arial"/>
        <family val="2"/>
      </rPr>
      <t>Bereging basert på at man kjenner anleggets effekt i kW, gammelt anlegg.</t>
    </r>
  </si>
  <si>
    <r>
      <t xml:space="preserve">c) </t>
    </r>
    <r>
      <rPr>
        <b/>
        <u/>
        <sz val="12"/>
        <rFont val="Arial"/>
        <family val="2"/>
      </rPr>
      <t>Bereging basert på at man kjenner anleggets effekt i kW, nytt anlegg.</t>
    </r>
  </si>
  <si>
    <r>
      <t xml:space="preserve">d) </t>
    </r>
    <r>
      <rPr>
        <b/>
        <u/>
        <sz val="12"/>
        <rFont val="Arial"/>
        <family val="2"/>
      </rPr>
      <t>Bereging basert på at man kjenner anleggets gammle åpne ekspansjonskar</t>
    </r>
  </si>
  <si>
    <t>Regneteknisk</t>
  </si>
  <si>
    <t>Grader (middeltemp)</t>
  </si>
  <si>
    <t>C</t>
  </si>
  <si>
    <t>l/hkW</t>
  </si>
  <si>
    <t>Liter per time per kW</t>
  </si>
  <si>
    <t>Grader</t>
  </si>
  <si>
    <t>Trykk (hst)</t>
  </si>
  <si>
    <t>mvs</t>
  </si>
  <si>
    <t>Valgt kompressor</t>
  </si>
  <si>
    <t>Kapasitet kompressor</t>
  </si>
  <si>
    <t>l/min</t>
  </si>
  <si>
    <t>Krav liter per minutt</t>
  </si>
  <si>
    <t>lineær modell</t>
  </si>
  <si>
    <t>Kompressortrykk</t>
  </si>
  <si>
    <t>bar</t>
  </si>
  <si>
    <t>VS90</t>
  </si>
  <si>
    <t>a</t>
  </si>
  <si>
    <t>b</t>
  </si>
  <si>
    <t>c</t>
  </si>
  <si>
    <t>x</t>
  </si>
  <si>
    <t>y</t>
  </si>
  <si>
    <t>VS150</t>
  </si>
  <si>
    <t>VS300</t>
  </si>
  <si>
    <t>VS400</t>
  </si>
  <si>
    <t>VS580</t>
  </si>
  <si>
    <t>Liter i anlegget</t>
  </si>
  <si>
    <t>Kompressorkar</t>
  </si>
  <si>
    <t>Væskeform</t>
  </si>
  <si>
    <t>Valgt</t>
  </si>
  <si>
    <t>Ekspansjon</t>
  </si>
  <si>
    <t>Beregning av kompressorkar</t>
  </si>
  <si>
    <t>Totalt vanninnhold</t>
  </si>
  <si>
    <t>liter/kW</t>
  </si>
  <si>
    <t>Total vannmengde</t>
  </si>
  <si>
    <t>d</t>
  </si>
  <si>
    <t>Sum</t>
  </si>
  <si>
    <t>liter væske i anlegget</t>
  </si>
  <si>
    <t>Sikkerhet blåseventiler</t>
  </si>
  <si>
    <t>Sikkerhet statisk høyde</t>
  </si>
  <si>
    <t>Kjele 1</t>
  </si>
  <si>
    <t>Kjele 2</t>
  </si>
  <si>
    <t>Kjele 3</t>
  </si>
  <si>
    <t>Kjele 4</t>
  </si>
  <si>
    <t>Sikkerhetsventiler</t>
  </si>
  <si>
    <t>Liter væske i anlegget</t>
  </si>
  <si>
    <t>Minimum kar-størrelse</t>
  </si>
  <si>
    <t>Reflexomat 200</t>
  </si>
  <si>
    <t>Reflexomat 300</t>
  </si>
  <si>
    <t>Reflexomat 400</t>
  </si>
  <si>
    <t>Reflexomat 500</t>
  </si>
  <si>
    <t>Reflexomat 600</t>
  </si>
  <si>
    <t>Reflexomat 800</t>
  </si>
  <si>
    <t>Reflexomat 1000</t>
  </si>
  <si>
    <t>Reflexomat 1500</t>
  </si>
  <si>
    <t>Reflexomat 2000</t>
  </si>
  <si>
    <t>Reflexomat 3000</t>
  </si>
  <si>
    <t>Reflexomat 4000</t>
  </si>
  <si>
    <t>Reflexomat 5000</t>
  </si>
  <si>
    <t>Ta kontakt med SGP</t>
  </si>
  <si>
    <t>Standard kar</t>
  </si>
  <si>
    <t>Karstørrelse</t>
  </si>
  <si>
    <t>N 8</t>
  </si>
  <si>
    <t>N 12</t>
  </si>
  <si>
    <t>N 18</t>
  </si>
  <si>
    <t>N 25</t>
  </si>
  <si>
    <t>NG 50</t>
  </si>
  <si>
    <t>NG 80</t>
  </si>
  <si>
    <t>NG 100</t>
  </si>
  <si>
    <t>NG 140</t>
  </si>
  <si>
    <t>N 200</t>
  </si>
  <si>
    <t>N 250</t>
  </si>
  <si>
    <t>N 300</t>
  </si>
  <si>
    <t>N 400</t>
  </si>
  <si>
    <t>N 500</t>
  </si>
  <si>
    <t>N 600</t>
  </si>
  <si>
    <t>N 800</t>
  </si>
  <si>
    <t>N 1000</t>
  </si>
  <si>
    <t>1</t>
  </si>
  <si>
    <t>3 / 4</t>
  </si>
  <si>
    <t>Serviceventil</t>
  </si>
  <si>
    <t>Glykol 30%</t>
  </si>
  <si>
    <t>Glykol 40%</t>
  </si>
  <si>
    <t>Glykol 50%</t>
  </si>
  <si>
    <t>Blåsetrykk</t>
  </si>
  <si>
    <t>Nytteeffekt kar</t>
  </si>
  <si>
    <t>Minimum karstørrelse</t>
  </si>
  <si>
    <t>Hovedkar</t>
  </si>
  <si>
    <t>Kompressor</t>
  </si>
  <si>
    <t>Dersom høyde / størrelse på karet gjør det vanskelig å plassere kan man dele opp ved bruk av slavetanker. Ta kontakt med SGP</t>
  </si>
  <si>
    <t>N 35</t>
  </si>
  <si>
    <t>REFLEXOMAT ekspansjonskar, type RG  200, komplett for vertikal montasje og med utskiftbar membran.
NRF nr. 840 05 51
Dimensjoner:
volum         200 liter
diameter     634 mm
høyde        1480 mm
vekt             58 kg
driftstemp.  110oC
anslutning    R1”</t>
  </si>
  <si>
    <t>REFLEXOMAT ekspansjonskar, type RG  300, komplett for vertikal montasje og med utskiftbar membran.
NRF nr. 840 05 52
Dimensjoner:
volum         300 liter
diameter     634 mm
høyde        1780 mm
vekt             75 kg
driftstemp.  110oC
anslutning    R1”</t>
  </si>
  <si>
    <t>REFLEXOMAT ekspansjonskar, type RG  400, komplett for vertikal montasje og med utskiftbar membran.
NRF nr. 840 05 53
Dimensjoner:
volum         400 liter
diameter     740 mm
høyde        1764 mm
vekt             86 kg
driftstemp.  110oC
anslutning    R1”</t>
  </si>
  <si>
    <t>REFLEXOMAT ekspansjonskar, type RG  500, komplett for vertikal montasje og med utskiftbar membran.
NRF nr. 840 05 54
Dimensjoner:
volum         500 liter
diameter     740 mm
høyde        1985 mm
vekt             99 kg
driftstemp.  110oC
anslutning    R1”</t>
  </si>
  <si>
    <t>REFLEXOMAT ekspansjonskar, type RG  600, komplett for vertikal montasje og med utskiftbar membran.
NRF nr. 840 05 55
Dimensjoner:
volum         600 liter
diameter     740 mm
høyde        2204 mm
vekt             115 kg
driftstemp.  110oC
anslutning    R1”</t>
  </si>
  <si>
    <t>REFLEXOMAT ekspansjonskar, type RG  800, komplett for vertikal montasje og med utskiftbar membran.
NRF nr. 840 05 56
Dimensjoner:
volum         800 liter
diameter     740 mm
høyde        2654 mm
vekt             177 kg
driftstemp.  110oC
anslutning    R1”</t>
  </si>
  <si>
    <t>REFLEXOMAT  kompressorstyrt ekspansjonskar  type RG 1500, komplett for vertikal montasje og med utskiftbar membran.
Dimensjoner: 
volum 1500 liter
diameter 1200 mm
høyde 2025 mm
vekt 465 kg
driftstemp. 110oC
anslutning DN 65
maks arbeidstrykk 6 bar</t>
  </si>
  <si>
    <t>REFLEXOMAT ekspansjonskar, type RG  2000, komplett for vertikal montasje og med utskiftbar membran.
Dimensjoner:
volum         2000 liter
diameter     1200 mm
høyde        2480 mm
vekt             656 kg
driftstemp.  110oC
anslutning    DN 65”
maks arbeidstrykk 6 bar</t>
  </si>
  <si>
    <t>REFLEXOMAT kompressorstyrt ekspansjonskar type RG 3000, komplett for vertikal montasje og med utskiftbar membran.
Dimensjoner: 
volum 3000 liter
diameter 1500 mm
høyde 2480 mm
vekt 795 kg
driftstemp. 110oC
anslutning DN 65
maks arbeidstrykk 6 bar</t>
  </si>
  <si>
    <t>REFLEXOMAT kompressorstyrt ekspansjonskar type RG 4000, komplett for vertikal montasje og med utskiftbar membran.
Dimensjoner: 
volum 4000 liter
diameter 1500 mm
høyde 3050 mm
vekt 1080 kg
driftstemp. 90oC
anslutning DN 65
maks arbeidstrykk 6 bar</t>
  </si>
  <si>
    <t>REFLEXOMAT kompressorstyrt ekspansjonskar type RG 5000, komplett for vertikal montasje og med utskiftbar membran.
Dimensjoner: 
volum 5000 liter
diameter 1500 mm
høyde 3590 mm
vekt 1115 kg
driftstemp. 110oC
anslutning DN 65
maks arbeidstrykk 6 bar</t>
  </si>
  <si>
    <t>Bar</t>
  </si>
  <si>
    <t>1”</t>
  </si>
  <si>
    <t>1 ¼”</t>
  </si>
  <si>
    <t>Blåsetrykk/sikkerhetsventil</t>
  </si>
  <si>
    <t>Statisk trykk</t>
  </si>
  <si>
    <t>Kjel 1</t>
  </si>
  <si>
    <t>Kjel 2</t>
  </si>
  <si>
    <t>Kjel 3</t>
  </si>
  <si>
    <t>Kjel 4</t>
  </si>
  <si>
    <t>Sikkerhetsventil</t>
  </si>
  <si>
    <t>Antall</t>
  </si>
  <si>
    <t>1 / 2”</t>
  </si>
  <si>
    <t>3 / 4''</t>
  </si>
  <si>
    <t>Kapasitet</t>
  </si>
  <si>
    <t>Type væske</t>
  </si>
  <si>
    <t>1'' serviceventil for ekspansjonskar med avtapping. NRF nr. 840 08 16</t>
  </si>
  <si>
    <t>3 / 4 '' serviceventil for ekspansjonskar med avtapping. NRF nr. 840 08 15</t>
  </si>
  <si>
    <t>Ladetrykk</t>
  </si>
  <si>
    <t>Temperatur</t>
  </si>
  <si>
    <t>Total ekspansjon</t>
  </si>
  <si>
    <t>grader C</t>
  </si>
  <si>
    <t>Valgt kar</t>
  </si>
  <si>
    <t>Vannmengde eksakt</t>
  </si>
  <si>
    <t>Vannmengde kalkulert fra vannmengde ark</t>
  </si>
  <si>
    <t>Kjele effekt</t>
  </si>
  <si>
    <t>Beregning av ekspansjonskar og sikkerhetsventiler</t>
  </si>
  <si>
    <t>Kontakt SGP</t>
  </si>
  <si>
    <t>SGP ble etablert i 1929 og er således også en av landets eldste leverandører og samarbeidspartnere til VVS-bransjen.</t>
  </si>
  <si>
    <t>Bruk av arket</t>
  </si>
  <si>
    <t>Arket leveres "åpent", det vil si at alle kan gjøre endringer i arket dersom det er behov for dette. Vi ber imidlertid om at arket alltid videresendes i sitt originale format og at SGP anerkjennes som "opphavet" til arket ved modifiseringer.</t>
  </si>
  <si>
    <r>
      <t>Reflex</t>
    </r>
    <r>
      <rPr>
        <sz val="10"/>
        <rFont val="Arial"/>
        <family val="2"/>
      </rPr>
      <t xml:space="preserve"> er en av Europas ledende produsenter av ekspansjonssystemer</t>
    </r>
  </si>
  <si>
    <r>
      <t>De Dietrich</t>
    </r>
    <r>
      <rPr>
        <sz val="10"/>
        <rFont val="Arial"/>
        <family val="2"/>
      </rPr>
      <t xml:space="preserve"> er en av Europas ledende produsenter av olje/gasskjeler</t>
    </r>
  </si>
  <si>
    <t>Skjemaet "Vannmengde" kan benyttes til å kalkulere eller estimere vannmengde i anlegget.</t>
  </si>
  <si>
    <r>
      <t xml:space="preserve">Har du spørsmål til regnearket eller ønsker tilbud på ekspansjon, vakuumutluftere, sikkerhetsventiler, biokjeler, backupkjeler, fjernvarmerør, skorsteiner, etc. så nøl ikke med å ta kontakt på 
</t>
    </r>
    <r>
      <rPr>
        <b/>
        <sz val="10"/>
        <rFont val="Arial"/>
        <family val="2"/>
      </rPr>
      <t>telefon 67 52 21 21</t>
    </r>
    <r>
      <rPr>
        <sz val="10"/>
        <rFont val="Arial"/>
        <family val="2"/>
      </rPr>
      <t xml:space="preserve"> eller besøk oss på våre hjemmesider </t>
    </r>
    <r>
      <rPr>
        <b/>
        <sz val="10"/>
        <rFont val="Arial"/>
        <family val="2"/>
      </rPr>
      <t>www.sgp.no.</t>
    </r>
    <r>
      <rPr>
        <sz val="10"/>
        <rFont val="Arial"/>
        <family val="2"/>
      </rPr>
      <t xml:space="preserve"> SGP er Norges ledende utstyrsleverandør og kan tilby alt innen vannbåren varme, basert på kjente, internasjonale merkevarer. SGP har varmet Norge siden 1929.</t>
    </r>
  </si>
  <si>
    <t>Generelt om ekspansjon</t>
  </si>
  <si>
    <t>Feildimensjonerte ekspansjonsanlegg er en viktig årsakt til driftsforstyrrelser. Dette tilkjennegir seg spesielt i form av driftsforstyrrelser under høst og vårperiodene.</t>
  </si>
  <si>
    <r>
      <t xml:space="preserve">Dette regnearket er utviklet internt i SGP Varmeteknikk for beregning av ekspansjonssystemer. Programmet beregner kun </t>
    </r>
    <r>
      <rPr>
        <b/>
        <sz val="10"/>
        <rFont val="Arial"/>
        <family val="2"/>
      </rPr>
      <t>standard n-kar</t>
    </r>
    <r>
      <rPr>
        <sz val="10"/>
        <rFont val="Arial"/>
        <family val="2"/>
      </rPr>
      <t xml:space="preserve"> og standard </t>
    </r>
    <r>
      <rPr>
        <b/>
        <sz val="10"/>
        <rFont val="Arial"/>
        <family val="2"/>
      </rPr>
      <t>kompressorkar</t>
    </r>
    <r>
      <rPr>
        <sz val="10"/>
        <rFont val="Arial"/>
        <family val="2"/>
      </rPr>
      <t xml:space="preserve"> samt sikkerhetsventiler. SGP har også ekspansjonsløsninger for høyere trykklasser (D og DE-kar) samt pumpestyrte ekspansjonsløsninger (Variomat).SGP er en av landets ledende utstyrsleverandører og leverer ledende merkevarer innenfor vannbåren varme. SGPs utstyrsprogram strekker seg fra biokjeler, olje-gasskjeler, fjernvarmerør, solvarme, ekspansjon, skorsteiner, kundesentraler, etc. Kort fortalt alt utstyr som skal til for å etablere mindre nærvarmeanlegg.</t>
    </r>
  </si>
  <si>
    <t>Kalkulasjon av standard ekspansjonskar og sikkerhetsventiler</t>
  </si>
  <si>
    <t>Øvrige ark i regnearket er skjult og er i hovedsak tekniske hjelpeark. Det er mulig å foreta endringer i sikkerhetsmarginer i forhold til standard under arket "Eksansjon", men dette anbefales normalt ikke. SGP har over 30 års erfaring med kalkulasjon og levering av ekspansjonssystemer og har lagt denne erfaringen inn i våre kalkulasjonsmodeller, den harmonerer også med den forventede kommende EU-normen for ekspansjon. SGP påtar seg inget ansvar i forbindelse med eventuelle feil i regnearket.</t>
  </si>
  <si>
    <t>HX35</t>
  </si>
  <si>
    <t>DE 2</t>
  </si>
  <si>
    <t>DE 12</t>
  </si>
  <si>
    <t>DE 18</t>
  </si>
  <si>
    <t>DE 25</t>
  </si>
  <si>
    <t>DE 200</t>
  </si>
  <si>
    <t>DE 400</t>
  </si>
  <si>
    <t>DE 500</t>
  </si>
  <si>
    <t>DE 600</t>
  </si>
  <si>
    <t>DE 800</t>
  </si>
  <si>
    <t>DE 1000</t>
  </si>
  <si>
    <t>DE 80</t>
  </si>
  <si>
    <t>DE 100</t>
  </si>
  <si>
    <t>DE 8</t>
  </si>
  <si>
    <t>Test DE2</t>
  </si>
  <si>
    <t>Reflex membran trykktank med utskiftbar membran, type DE 25
Diameter: 280 mm Høyde: 500 mm Vekt: 3,7 kg Trykklasse: PN 10 Anslutning: R3/4.' Standard ladetrykk: 4 bar</t>
  </si>
  <si>
    <t>Reflex membran trykktank med fast membran, type DE 8
Diameter: 206 mm Høyde: 320 mm Vekt: 1,7 kg Trykklasse: PN 10 Anslutning: R 3/4'' Standard ladetrykk: 4 bar</t>
  </si>
  <si>
    <t>Reflex membran trykktank med utskiftbar membran, type DE 80
Diameter: 480 mm Høyde: 740 mm Vekt: 20 kg Trykklasse: PN 10 Anslutning: R 1'' Standard ladetrykk: 4 bar</t>
  </si>
  <si>
    <t>DE 33</t>
  </si>
  <si>
    <t>Reflex membran trykktank med utskiftbar membran, type DE 33
Diameter: 354 mm Høyde: 455 mm Vekt: 8,4 kg Trykklasse: PN 10 Anslutning: R3/4.' Standard ladetrykk: 4 bar</t>
  </si>
  <si>
    <t>De 60</t>
  </si>
  <si>
    <t>Reflex membran trykktank med utskiftbar membran, type DE 60
Diameter: 409 mm Høyde: 740 mm Vekt: 14 kg Trykklasse: PN 10 Anslutning: R 1'' Standard ladetrykk: 4 bar</t>
  </si>
  <si>
    <t>Reflex membran trykktank med utskiftbar membran, type DE 100
Diameter: 480 mm Høyde: 835 mm Vekt:  25 kg Trykklasse: PN 10 Anslutning: R 1'' Standard ladetrykk: 4 bar</t>
  </si>
  <si>
    <t xml:space="preserve">Reflex membran trykktank med utskiftbar membran, type DE 200
Diameter: 634 mm Høyde: 970 mm Vekt: 47 kg Trykklasse: PN 10 Anslutning: R 1 1/4''. Standard ladetrykk: 4 bar </t>
  </si>
  <si>
    <t xml:space="preserve">Reflex membran trykktank med utskiftbar membran, type DE 300
Diameter: 634 mm Høyde: 1270 mm Vekt: 53 kg Trykklasse: PN 10 Anslutning: R 1 1/4''. Standard ladetrykk: 4 bar </t>
  </si>
  <si>
    <t>Reflex membran trykktank med utskiftbar membran, type DE 400
Diameter: 740 mm Høyde: 1245 mm Vekt: 73 kg Trykklasse: PN 10 Anslutning: R 1 1/4'' Standard ladetrykk: 4 bar</t>
  </si>
  <si>
    <t>Reflex membran trykktank med utskiftbar membran, type DE 500
Diameter: 740 mm Høyde: 1475 mm Vekt: 79 kg Trykklasse: PN 10 Anslutning: R 1 1/4'' Standard ladetrykk: 4 bar</t>
  </si>
  <si>
    <t>Reflex membran trykktank med utskiftbar membran, type DE 1000
Diameter: 740 mm Høyde: 2604 mm Vekt: 237 kg Trykklasse: PN 10 Anslutning: R 1 1/2'' Standard ladetrykk: 4 bar</t>
  </si>
  <si>
    <t>Reflex membran trykktank med utskiftbar membran, type DE 600
Diameter: 740 mm Høyde: 1860 mm Vekt: 157 kg Trykklasse: PN 10 Anslutning: R 1 1/2'' Standard ladetrykk: 4 bar</t>
  </si>
  <si>
    <t>Reflex membran trykktank med utskiftbar membran, type DE 800
Diameter: 740 mm Høyde: 2325 mm Vekt: 197 kg Trykklasse: PN 10 Anslutning: R 1 1/2'' Standard ladetrykk: 4 bar</t>
  </si>
  <si>
    <t>Reflex membran trykktank med fast membran, type DE 18
Diameter: 280 mm Høyde: 370 mm Vekt: 7,5 kg Trykklasse: PN 10 Anslutning: 3/4''</t>
  </si>
  <si>
    <t>Reflex membran trykktank med fast membran, type DE 12
Diameter: 280 mm Høyde: 293 mm Vekt: 5,9 kg Trykklasse: PN 10 Anslutning: 3/4''</t>
  </si>
  <si>
    <t>Beregning av ekspansjonskar for berederanlegg</t>
  </si>
  <si>
    <t>DE trykktank</t>
  </si>
  <si>
    <t>Trykk på nettvannet</t>
  </si>
  <si>
    <t>Antall Solfangere</t>
  </si>
  <si>
    <t>Væskeinnhold per solfanger</t>
  </si>
  <si>
    <t>Maks temperatur</t>
  </si>
  <si>
    <t>Minimum temperatur</t>
  </si>
  <si>
    <t>Glykol-% blanding</t>
  </si>
  <si>
    <t>Statisk høyde</t>
  </si>
  <si>
    <t>Differansetrykk sirkulasjonspumpe</t>
  </si>
  <si>
    <t>Væskeinnhold i øvrige komponenter</t>
  </si>
  <si>
    <t>Totalt væskeinnhold</t>
  </si>
  <si>
    <t>stk</t>
  </si>
  <si>
    <t>grader</t>
  </si>
  <si>
    <t>t °C</t>
  </si>
  <si>
    <t>n* %</t>
  </si>
  <si>
    <t>Ladetrykk p0</t>
  </si>
  <si>
    <t>Vannsegl</t>
  </si>
  <si>
    <t>Initelt trykk pi</t>
  </si>
  <si>
    <t>Nominelt volum ekspansjonskar Vn</t>
  </si>
  <si>
    <t>Ekpansjonsvolum Ve</t>
  </si>
  <si>
    <t>Væskeinnhold solfangere</t>
  </si>
  <si>
    <t>Sugesiden av pumpen</t>
  </si>
  <si>
    <t>Beregning av ladetrykk og karets størrelse for kar for vannforsyning</t>
  </si>
  <si>
    <t>Trykksiden av pumpen</t>
  </si>
  <si>
    <t>Starttrykk pumpen</t>
  </si>
  <si>
    <t>Montert på trykksiden av pumpen</t>
  </si>
  <si>
    <t>Montert på sugesiden av pumpen</t>
  </si>
  <si>
    <t>Systemtrykk</t>
  </si>
  <si>
    <t>Ladetrykk tank</t>
  </si>
  <si>
    <t>Starttrykk pumpe</t>
  </si>
  <si>
    <t>anbefales ikke</t>
  </si>
  <si>
    <t>Monteringsposisjon</t>
  </si>
  <si>
    <t>Stopptrykk pumpen (over starttrykk)</t>
  </si>
  <si>
    <t>Ladetrykk på tanken</t>
  </si>
  <si>
    <t>Forbruk per time</t>
  </si>
  <si>
    <t>Liter / time</t>
  </si>
  <si>
    <t>Pumpekapasitet per time (gjennomsnitt)</t>
  </si>
  <si>
    <t>Ønsket maksimum pumpestart per time</t>
  </si>
  <si>
    <t>DE 300</t>
  </si>
  <si>
    <t>DE 60</t>
  </si>
  <si>
    <t>5 / 4</t>
  </si>
  <si>
    <t>1 1/2</t>
  </si>
  <si>
    <t>Beregning ihht EN-12828</t>
  </si>
  <si>
    <t>Ja</t>
  </si>
  <si>
    <t>ihht EN12828</t>
  </si>
  <si>
    <t>regn beregning</t>
  </si>
  <si>
    <r>
      <rPr>
        <b/>
        <sz val="10"/>
        <rFont val="Arial"/>
        <family val="2"/>
      </rPr>
      <t>EN12828</t>
    </r>
    <r>
      <rPr>
        <sz val="10"/>
        <rFont val="Arial"/>
        <family val="2"/>
      </rPr>
      <t xml:space="preserve"> normen tilsier at ekspansjonsvolumet i et varmeanlegg skal beregnes som ekspansjonsvolumet + et vannspeil som skal tilsvare det største av 3 liter eller 0,5% av anleggets volum. Dette gjøres for å sikre at anlegget har et visst volum til å sikre trykket om temperaturen synker eller når en lufter ut anlegget. Om en har automatisk vannpåfylling så KAN man driste seg til å fravike normen på dette punktet og beregne ekspansjonssystemet UTEN dette normbeskrevne sikkerhetsvolumet.</t>
    </r>
  </si>
  <si>
    <t>Brugmann PE-RT &amp; MKV rør</t>
  </si>
  <si>
    <t>Dim</t>
  </si>
  <si>
    <t>14x2</t>
  </si>
  <si>
    <t>17x2</t>
  </si>
  <si>
    <t>20x2</t>
  </si>
  <si>
    <t>25x2,3</t>
  </si>
  <si>
    <t>VS1</t>
  </si>
  <si>
    <t>VS2-1/60</t>
  </si>
  <si>
    <t>VS2-1/75</t>
  </si>
  <si>
    <t>VS2-1/95</t>
  </si>
  <si>
    <t>VS1-1/140</t>
  </si>
  <si>
    <t>VS2-2/35</t>
  </si>
  <si>
    <t>VS2-2/60</t>
  </si>
  <si>
    <t>VS2-2/75</t>
  </si>
  <si>
    <t>VS2-2/95</t>
  </si>
  <si>
    <t>VS2-2/75S</t>
  </si>
  <si>
    <t>VS2-2/95S</t>
  </si>
  <si>
    <t>VS1-2/140</t>
  </si>
  <si>
    <t>Prioritet</t>
  </si>
  <si>
    <t>Maks effekt</t>
  </si>
  <si>
    <t>Po bar</t>
  </si>
  <si>
    <t>0-punkt Po bar</t>
  </si>
  <si>
    <t>0-punkt MW</t>
  </si>
  <si>
    <t>Kompressor RS90</t>
  </si>
  <si>
    <t>Kompressor RS150</t>
  </si>
  <si>
    <t>Kompressor RS300</t>
  </si>
  <si>
    <t>Kompressor RS400</t>
  </si>
  <si>
    <t>Kompressor RS580</t>
  </si>
  <si>
    <t>Max Po</t>
  </si>
  <si>
    <t>RS 150/1 Styreenhet med en kompressor for montert på  tank. 
* sikkerhetsventil 3/8'' - 6.0 bar for luftsiden
* hydraulisk/elektronisk vektcelle for vanninnhold.
* styreenheten leveres med potensialfrie kontakter for overføring av felles feilsignal for ''lavt'' og 'høyt'' vann-nivå i tank samt ''kompressorfeil'', videre med konstant digital visning av systemtrykk i bar og vannivå i % uttak for eventuell senere tilkobling av automatisk vannpåfylling</t>
  </si>
  <si>
    <t>RS 300/1 Styreenhet med en kompressor. Styreenheten plasseres på tank, kompressor på gulv. 
* sikkerhetsventil 3/8'' - 6.0 bar for luftsiden
* hydraulisk/elektronisk vektcelle for vanninnhold.
* styreenheten leveres med potensialfrie kontakter for overføring av felles feilsignal for  ''lavt'' og  
''høyt'' vann-nivå i tank samt ''kompressorfeil'', videre med konstant digital visning av systemtrykk i bar og vannivå i %
* uttak for eventuell senere tilkobling av automatisk vannpåfylling</t>
  </si>
  <si>
    <t>RS 400/1 Styreenhet med en kompressor. Styreenheten plasseres på tank, kompressor på gulv. 
* sikkerhetsventil 3/8'' - 6.0 bar for luftsiden
* hydraulisk/elektronisk vektcelle for vanninnhold.
* styreenheten leveres med potensialfrie kontakter for overføring av felles feilsignal for  ''lavt'' og  
''høyt'' vann-nivå i tank samt ''kompressorfeil'', videre med konstant digital visning av systemtrykk i bar og vannivå i %
* uttak for eventuell senere tilkobling av automatisk vannpåfylling</t>
  </si>
  <si>
    <t>RS 580/1 Styreenhet med en kompressor. Styreenheten plasseres på tank, kompressor på gulv. 
* sikkerhetsventil 3/8'' - 6.0 bar for luftsiden
* hydraulisk/elektronisk vektcelle for vanninnhold.
* styreenheten leveres med potensialfrie kontakter for overføring av felles feilsignal for  ''lavt'' og  
''høyt'' vann-nivå i tank samt ''kompressorfeil'', videre med konstant digital visning av systemtrykk i bar og vannivå i %
* uttak for eventuell senere tilkobling av automatisk vannpåfylling</t>
  </si>
  <si>
    <t>RS 90/1 styreenhet med en kompressor påmontert på tank. 
* sikkerhetsventil 3/8'' - 6.0 bar for luftsiden
* hydraulisk/elektronisk vektcelle for vanninnhold.
* styreenheten leveres med potensialfrie kontakter for overføring av felles feilsignal for ''lavt'' og  ''høyt'' vann-nivå i tank samt ''kompressorfeil'', videre med konstant digital visning av systemtrykk i bar og vannivå i %
Uttak for eventuell senere tilkobling av automatisk vannpåfylling</t>
  </si>
  <si>
    <t>Pumpekar</t>
  </si>
  <si>
    <t>Installert kjeleeffekt</t>
  </si>
  <si>
    <t>Po</t>
  </si>
  <si>
    <t>Pobar</t>
  </si>
  <si>
    <t>Pumpeenhet</t>
  </si>
  <si>
    <t>Beregning av riktig pumpe-enhet</t>
  </si>
  <si>
    <t>Ekspansjonsbeholder</t>
  </si>
  <si>
    <t>Variomat 200</t>
  </si>
  <si>
    <t>Variomat 300</t>
  </si>
  <si>
    <t>Variomat 400</t>
  </si>
  <si>
    <t>Variomat 500</t>
  </si>
  <si>
    <t>Variomat 600</t>
  </si>
  <si>
    <t>Variomat 800</t>
  </si>
  <si>
    <t>Variomat 1000</t>
  </si>
  <si>
    <t>Variomat 1500</t>
  </si>
  <si>
    <t>Variomat 2000</t>
  </si>
  <si>
    <t>Variomat 3000</t>
  </si>
  <si>
    <t>Variomat 4000</t>
  </si>
  <si>
    <t>Variomat 5000</t>
  </si>
  <si>
    <t>Kar</t>
  </si>
  <si>
    <t>Variomat ekspansjonskar, type VG  1000, komplett for vertikal montasje og med utskiftbar membran.
Dimensjoner:
volum         1000 liter
diameter     1000 mm (finnes i Ø740 versjon)
høyde        2130 mm
vekt             292 kg
anslutning    G1''</t>
  </si>
  <si>
    <t>Variomat  kompressorstyrt ekspansjonskar  type VG 1500, komplett for vertikal montasje og med utskiftbar membran.
Dimensjoner: 
volum 1500 liter
diameter 1200 mm
høyde 2130 mm
vekt 320 kg
anslutning G1''</t>
  </si>
  <si>
    <t>Variomat ekspansjonskar, type VG  200, komplett for vertikal montasje og med utskiftbar membran.
Dimensjoner:
volum         200 liter
diameter     634 mm
høyde        1060 mm
vekt             41,4 kg
anslutning    G1''</t>
  </si>
  <si>
    <t>Variomat ekspansjonskar, type VG  2000, komplett for vertikal montasje og med utskiftbar membran.
Dimensjoner:
volum         2000 liter
diameter     1200 mm
høyde        2590 mm
vekt             656 kg
anslutning    G1''</t>
  </si>
  <si>
    <t>Variomat ekspansjonskar, type VG  300, komplett for vertikal montasje og med utskiftbar membran.
Dimensjoner:
volum         300 liter
diameter     634 mm
høyde        1360 mm
vekt             52 kg
anslutning    G1”</t>
  </si>
  <si>
    <t>Variomat kompressorstyrt ekspansjonskar type VG 3000, komplett for vertikal montasje og med utskiftbar membran.
Dimensjoner: 
volum 3000 liter
diameter 1500 mm
høyde 2590 mm
vekt 795 kg
anslutning G1''</t>
  </si>
  <si>
    <t>Variomat ekspansjonskar, type VG  400, komplett for vertikal montasje og med utskiftbar membran.
Dimensjoner:
volum         400 liter
diameter     740 mm
høyde        1345 mm
vekt             72 kg
anslutning    G1”</t>
  </si>
  <si>
    <t>Variomat kompressorstyrt ekspansjonskar type VG 4000, komplett for vertikal montasje og med utskiftbar membran.
Dimensjoner: 
volum 4000 liter
diameter 1500 mm
høyde 3160 mm
vekt 1080 kg
anslutning G1''</t>
  </si>
  <si>
    <t>Variomat ekspansjonskar, type VG  500, komplett for vertikal montasje og med utskiftbar membran.
Dimensjoner:
volum         500 liter
diameter     740 mm
høyde        1560 mm
vekt             82 kg
anslutning    G1”</t>
  </si>
  <si>
    <t>Variomat kompressorstyrt ekspansjonskar type VG 5000, komplett for vertikal montasje og med utskiftbar membran.
Dimensjoner: 
volum 5000 liter
diameter 1500 mm
høyde 3695 mm
vekt 1115 kg
anslutning G1''</t>
  </si>
  <si>
    <t>Variomat ekspansjonskar, type VG  600, komplett for vertikal montasje og med utskiftbar membran.
Dimensjoner:
volum         600 liter
diameter     740 mm
høyde        1810 mm
vekt             97 kg
anslutning    G1”</t>
  </si>
  <si>
    <t>Variomat ekspansjonskar, type VG  800, komplett for vertikal montasje og med utskiftbar membran.
Dimensjoner:
volum         800 liter
diameter     740 mm
høyde        2275 mm
vekt             110 kg
anslutning    G1”</t>
  </si>
  <si>
    <t>REFLEXOMAT ekspansjonskar, type RG  1000, komplett for vertikal montasje og med utskiftbar membran.
Dimensjoner:
volum         1000 liter
diameter     1000 mm
høyde        2025 mm
vekt             308 kg
driftstemp.  110oC
anslutning    DN 65”
maks arbeidstrykk 6 bar</t>
  </si>
  <si>
    <t>Styreautomatikk med en pumpe for plassering ved siden av tank, med potensialfrie kontakter for overføring  av felles feilsignal for "lavt" og "høyt" vannivå i tank samt "pumpefeill", videre med konstant digital visning av systemtrykk i bar og vannivå i %
·hydraulisk/elektronisk vektcelle for vanninnhold.
·uttak for eventuell senere tilkobling av automatisk vannpåfylling.
Maks. 10 bar arbeidstrykk.</t>
  </si>
  <si>
    <t>Styreautomatikk med pumpe for plassering ved 
siden av tank, med potensialfrie kontakter for 
overføring  av felles feilsignal for "lavt" og "høyt" 
vannivå i tank samt "pumpefeill", videre med 
konstant digital visning av systemtrykk i bar og 
vannivå i %
·hydraulisk/elektronisk vektcelle for vanninnhold.
·uttak for eventuell senere tilkobling av automatisk 
vannpåfylling</t>
  </si>
  <si>
    <t>Styreautomatikk med softstart og en pumpe for plassering ved siden av tank, med potensialfrie kontakter for overføring  av felles feilsignal for "lavt" og "høyt" vannivå i tank samt "pumpefeill", videre med konstant digital visning av systemtrykk i bar og vannivå i %
·hydraulisk/elektronisk vektcelle for vanninnhold.
·uttak for eventuell senere tilkobling av automatisk vannpåfylling.
Pumpemotor 1.1 kW, 1-fas 230V.</t>
  </si>
  <si>
    <t>Styreautomatikk med pumpe for plassering ved siden av tank, med potensialfrie kontakter for overføring  av felles feilsignal for "lavt" og "høyt" vannivå i tank samt "pumpefeill", videre med konstant digital visning av systemtrykk i bar og vannivå i %
·hydraulisk/elektronisk vektcelle for vanninnhold.
·uttak for eventuell senere tilkobling av automatisk vannpåfylling</t>
  </si>
  <si>
    <t>Styreautomatikk med to pumper for plassering ved 
siden av tank, med potensialfrie kontakter for 
overføring  av felles feilsignal for "lavt" og "høyt" 
vannivå i tank samt "pumpefeill", videre med 
konstant digital visning av systemtrykk i bar og 
vannivå i %
·hydraulisk/elektronisk vektcelle for vanninnhold.
·uttak for eventuell senere tilkobling av automatisk 
vannpåfylling.
Maks. arbeidstrykk:10 bar</t>
  </si>
  <si>
    <t>Styreautomatikk med to pumper og dynamiske 
motorventiler for plassering ved siden av tank, med potensialfrie kontakter for overføring  av felles feilsignal for "lavt" og "høyt" vannivå i tank samt "pumpefeill", videre med konstant digital visning av systemtrykk i bar og vannivå i %
·hydraulisk/elektronisk vektcelle for vanninnhold.
·uttak for eventuell senere tilkobling av automatisk vannpåfylling</t>
  </si>
  <si>
    <t>Styreautomatikk med "soft start" og to pumper for plassering ved siden av tank, med potensialfrie kontakter for overføring  av felles feilsignal for "lavt" og "høyt" vannivå i tank samt "pumpefeill", videre med konstant digital visning av systemtrykk i bar og vannivå i %. Hydraulisk/elektronisk vektcelle for vanninnhold. Uttak for eventuell senere tilkobling av automatisk vannpåfylling.
Hydraulikkdelen består av to pumper- 2,2kW, 1x230V, regulering- og ovestrømsventiler samt tilkobling for vannpåfylling. 
H=800, B=700, D=780mm.</t>
  </si>
  <si>
    <t>Styreautomatikk med "soft start" og to pumper for plassering ved siden av tank, med potensialfrie kontakter for overføring  av felles feilsignal for "lavt" og "høyt" vannivå i tank samt "pumpefeill", videre med konstant digital visning av systemtrykk i bar og vannivå i %. Hydraulisk/elektronisk vektcelle for vanninnhold. Uttak for eventuell senere tilkobling av automatisk vannpåfylling.
Hydraulikkdelen består av to pumper, regulering- og ovestrømsventiler samt tilkobling for vannpåfylling. Sertifiseringstrykk 16 bar.</t>
  </si>
  <si>
    <t>REFLEX trykkekspansjonskar type N 1000 / 1,5 dia 740 mm, høyde 2430 mm, vekt 120,0 kg.
NRF nr. 840 05 49</t>
  </si>
  <si>
    <t>REFLEX trykkekspansjonskar type N 12 / 1,5 dia 272 mm, høyde 315 mm, vekt 2,6kg. 
NRF nr. 840 06 58</t>
  </si>
  <si>
    <t>REFLEX trykkekspansjonskar type N 18 / 1,5 dia 308 mm, høyde 360 mm, vekt 3,5 kg. 
NRF nr. 840 06 63</t>
  </si>
  <si>
    <t>REFLEX trykkekspansjonskar type N 200 / 1,5 dia 634 mm, høyde 785 mm, vekt 36,7 kg. 
NRF nr. 840 0694</t>
  </si>
  <si>
    <t>REFLEX trykkekspansjonskar type N 25 / 1,5 dia 308 mm, høyde 480 mm, vekt 4,6 kg. 
NRF nr. 840 06 67</t>
  </si>
  <si>
    <t>REFLEX trykkekspansjonskar type N 250 / 1,5 dia 634 mm, høyde 915 mm, vekt 45,0 kg. 
NRF nr. 840 06 98</t>
  </si>
  <si>
    <t>REFLEX trykkekspansjonskar type N 300 / 1,5 dia 634 mm, høyde 1085 mm, vekt 52.0 kg. 
NRF nr. 840 07 12</t>
  </si>
  <si>
    <t>REFLEX trykkekspansjonskar type N 35 / 1,5 dia 376 mm, høyde 465 mm, vekt 5,4 kg. Karet står på ben. 
NRF nr. 840 06 72</t>
  </si>
  <si>
    <t>REFLEX trykkekspansjonskar type N 400 / 1,5 dia 740 mm, høyde 1075 mm, vekt 65,0 kg. 
NRF nr. 840 07 12</t>
  </si>
  <si>
    <t>REFLEX trykkekspansjonskar type N 500 / 1,5 dia 740 mm, høyde 1295 mm, vekt 79,0 kg. 
NRF nr. 840 07 14</t>
  </si>
  <si>
    <t>REFLEX trykkekspansjonskar type N 600 / 1,5 dia 740 mm, høyde 1530 mm, vekt 85,0 kg. 
NRF nr. 840 07 16</t>
  </si>
  <si>
    <t>REFLEX trykkekspansjonskar type N 8 / 1,5 dia 272 mm, høyde 233 mm, vekt 1,9 kg. 
NRF nr. 840 06 54</t>
  </si>
  <si>
    <t>REFLEX trykkekspansjonskar type N 800 / 1,5 dia 740 mm, høyde 1990 mm, vekt 103,0 kg.
NRF nr. 840 05 48</t>
  </si>
  <si>
    <t>REFLEX trykkekspansjonskar type NG 100 / 1,5 dia 480 mm, høyde 670 mm, vekt 20,5 kg. 
NRF nr. 840 06 85</t>
  </si>
  <si>
    <t>REFLEX trykkekspansjonskar type NG 140 / 1,5 dia 480 mm, høyde 912 mm, vekt 28,6 kg. 
NRF nr. 840 06 89</t>
  </si>
  <si>
    <t>REFLEX trykkekspansjonskar type N 50 / 1,5 dia 480 mm, høyde 495 mm, vekt 12,5 kg. 
NRF nr. 840 06 76</t>
  </si>
  <si>
    <t>REFLEX trykkekspansjonskar type NG 80/ 1,5 dia 480mm, høyde 565 mm, vekt 17,0 kg. 
NRF nr. 840 06 81</t>
  </si>
  <si>
    <t>Kompressorkar er svært godt egnet til å holde et stabilt trykk gjennom alle driftsfaser (+/- 0,1 bar). Dette gjør den ved å kontinuerlig justere ladetrykket til driftssituasjonen.
Et kompressorkar har normalt sett også en vektcelle, hvilket gjør at den vet om anlegget trenger etterfylling eller ikke - før mangelen på vann har resultert i problematisk drift. Automatisk vannpåfylling kan enkelt kobles til en Reflexomat.</t>
  </si>
  <si>
    <t>Et pumpekar holder også svært stabilt trykk i anlegget (+/- 0,2 bar). Ettersom den benytter en pumpe til å føre vann ut eller inn av en trykkløs beholder så kan den også enkelt håndtere anlegg med høye trykk.
Beholderen har en gummimembran for å hindre at luft diffunderer inn i vannet i ekspansjonskaret. Dette anbefales for å unngå å tilføre luft (inklusive oksygen) til anlegget - noe som eventuelt vil resultere i korrosjon i anlegget over tid.
Variomat enheten kan også brukes til å lufte ut anlegget med kun atmosfærisk trykk. I toppen av tanken/membranen sitter det en luftepotte som lufter ut gasser som er skilt ut i ekspansjonstanken.
Det anbefales å utstyre et pumpestyrt anlegg med et lite standard ekspansjonskar i tillegg - slik at pumpens støt ikke forårsaker støy eller problemer i anlegget.
Vannpåfylling gjøres basert på vektcelle og vannstand i tanken.</t>
  </si>
  <si>
    <t>Nei</t>
  </si>
  <si>
    <t>Bar (brukes ikke dersom karet settes på sugesiden av pumpen)</t>
  </si>
  <si>
    <t>Returtemperatur</t>
  </si>
  <si>
    <t>Forkjøler</t>
  </si>
  <si>
    <t>Forkjøler volum</t>
  </si>
  <si>
    <t>Reflex forkjøler V20</t>
  </si>
  <si>
    <t>Reflex forkjøler V60</t>
  </si>
  <si>
    <t>Reflex forkjøler V200</t>
  </si>
  <si>
    <t>Reflex forkjøler V500</t>
  </si>
  <si>
    <t>Reflex forkjøler V750</t>
  </si>
  <si>
    <t>Reflex forkjøler V1000</t>
  </si>
  <si>
    <t>Reflex forkjøler V1500</t>
  </si>
  <si>
    <t>Reflex forkjøler V2000</t>
  </si>
  <si>
    <t>Reflex forkjøler V3000</t>
  </si>
  <si>
    <t>Reflex forkjøler V300</t>
  </si>
  <si>
    <t>En forkjøler benyttes for å sikre at varmt vann (over 70°C) ikke kommer i direkte kontakt med ekspansjonskaret. En kan løse dette også ved hjelp av større dimensjon på rørstrekket frem til ekspansjonskaret, men en må da sikre en "varmelås" på rørstrekket</t>
  </si>
  <si>
    <t>Pe (høyeste driftstrykk)</t>
  </si>
  <si>
    <t>Pe+1</t>
  </si>
  <si>
    <t>Vn*(P0+1)*2n</t>
  </si>
  <si>
    <t>Va</t>
  </si>
  <si>
    <t>Vk</t>
  </si>
  <si>
    <t>tv</t>
  </si>
  <si>
    <t>ta</t>
  </si>
  <si>
    <t>Pst</t>
  </si>
  <si>
    <t>dPp</t>
  </si>
  <si>
    <t>P0</t>
  </si>
  <si>
    <t>Psv</t>
  </si>
  <si>
    <t>Pe</t>
  </si>
  <si>
    <t>Ve</t>
  </si>
  <si>
    <t>Vn</t>
  </si>
  <si>
    <t>(Ve+Vkges)*(Pe+1)*(n + nr)</t>
  </si>
  <si>
    <t>Pd (bar)</t>
  </si>
  <si>
    <t>Effektkalkulasjon</t>
  </si>
  <si>
    <t>Styrekar</t>
  </si>
  <si>
    <t>Styrekar ifm Variomat</t>
  </si>
  <si>
    <t>1 1/2''</t>
  </si>
  <si>
    <t>2''</t>
  </si>
  <si>
    <t>flere enn 2</t>
  </si>
  <si>
    <t>Benytt flere 2'' ventiler</t>
  </si>
  <si>
    <t>NRF 8405966</t>
  </si>
  <si>
    <t>NRF 8405967</t>
  </si>
  <si>
    <t>NRF 8405968</t>
  </si>
  <si>
    <t>NRF 8405972</t>
  </si>
  <si>
    <t>NRF 8405969</t>
  </si>
  <si>
    <t>NRF 8405973</t>
  </si>
  <si>
    <t>NRF 8405977</t>
  </si>
  <si>
    <t>NRF 8405974</t>
  </si>
  <si>
    <t>NRF 8405978</t>
  </si>
  <si>
    <t>NRF 8405997</t>
  </si>
  <si>
    <t>NRF 8405995</t>
  </si>
  <si>
    <t>NRF 8405996</t>
  </si>
  <si>
    <t>NRF 8405982</t>
  </si>
  <si>
    <t>NRF 8405983</t>
  </si>
  <si>
    <t>NRF 8405981</t>
  </si>
  <si>
    <t>NRF 8406001</t>
  </si>
  <si>
    <t>NRF 8405988</t>
  </si>
  <si>
    <t>NRF 8405991</t>
  </si>
  <si>
    <t>NRF 8406003</t>
  </si>
  <si>
    <t>NRF 8405993</t>
  </si>
  <si>
    <t>NRF 8406004</t>
  </si>
  <si>
    <t>NRF 8405994</t>
  </si>
  <si>
    <t>NRF 8405992</t>
  </si>
  <si>
    <t>NRF 8405998</t>
  </si>
  <si>
    <t>NRF 8405999</t>
  </si>
  <si>
    <t>NRF 8405986</t>
  </si>
  <si>
    <t>NRF 8405987</t>
  </si>
  <si>
    <t>NRF 8405985</t>
  </si>
  <si>
    <t>Valgt kapasitet ift trykk</t>
  </si>
  <si>
    <t>NRF 8046002</t>
  </si>
  <si>
    <t>Standard ekspansjonskar er rimelige og enkle. Riktig dimensjonert og vedlikeholdt så vil de holde et trykk i de ulike driftsfasene mellom ladetrykk + 0,3 bar (påfyllingstrykket) og sikkerhetens blåsetrykk - 0,5 bar.
I anlegg med liten avstand mellom statisk trykk og blåsetrykk får en svært liten nytteeffekt av karene.</t>
  </si>
  <si>
    <t>Nominelt volum</t>
  </si>
  <si>
    <t>S 25 Reflex 10 bar ekspansjonskar for solvarmeanlegg</t>
  </si>
  <si>
    <t>S 12 Reflex 10 bar trykktank for solvarmeanlegg</t>
  </si>
  <si>
    <t>S 33 Reflex 10 bar trykktank for solvarmeanlegg</t>
  </si>
  <si>
    <t>S 50 Reflex 10 bar ekspansjonskar for solvarmeanlegg</t>
  </si>
  <si>
    <t>S 80 Reflex 10 bar ekspansjonskar, 120 gr.C</t>
  </si>
  <si>
    <t>S 100 Reflex 10 bar trykktank for solvarmeanlegg</t>
  </si>
  <si>
    <t>S 140 Reflex 10 bar trykktank for solvarmeanlegg</t>
  </si>
  <si>
    <t>S 200 Reflex 10 bar trykktank for solvarmeanlegg</t>
  </si>
  <si>
    <t>S 250 Reflex 10 bar ekspansjonskar for solvarmeanlegg</t>
  </si>
  <si>
    <t>S 300 Reflex 10 bar trykktank for solvarme</t>
  </si>
  <si>
    <t>S 400 Reflex 10 bar trykktank for solvarmeanlegg</t>
  </si>
  <si>
    <t>S 500 Reflex 10 bar ekspansjonskar for solvarmeanlegg</t>
  </si>
  <si>
    <t>S 600 Reflex 10 bar ekspansjonskar for solvarmeanlegg</t>
  </si>
  <si>
    <t>Benytt flere kar i parallell</t>
  </si>
  <si>
    <t>Anbefalt ekspansjonskar</t>
  </si>
  <si>
    <t>Solfangere</t>
  </si>
  <si>
    <t>CH 250 SL</t>
  </si>
  <si>
    <t>DH 200 SL</t>
  </si>
  <si>
    <t>CH 250</t>
  </si>
  <si>
    <t>Pro D230</t>
  </si>
  <si>
    <t>Pro C250H</t>
  </si>
  <si>
    <t>Pro C250V</t>
  </si>
  <si>
    <t>Pro C250TB</t>
  </si>
  <si>
    <t>Væskeinnhold</t>
  </si>
  <si>
    <t>Maks antall i serie</t>
  </si>
  <si>
    <t>Type solfanger</t>
  </si>
  <si>
    <t>Beregning av ekspansjonskar til solvarmeanlegg</t>
  </si>
  <si>
    <t>Skjemaet "Varme" benyttes til å beregne ekspansjon for standard varme (og kjøleanlegg)</t>
  </si>
  <si>
    <t>Skjemaet "Bereder" benyttes til å beregne ekspansjon for beredersystemer</t>
  </si>
  <si>
    <t>Skjemaet "Solvarme" benyttes til å beregne ekspansjon til solvarmesystemer</t>
  </si>
  <si>
    <t>Skjemaet "Tappevann" benyttes til å beregne ekspansjon til brønnsystemer / tappevann</t>
  </si>
  <si>
    <r>
      <t>SYR</t>
    </r>
    <r>
      <rPr>
        <sz val="10"/>
        <rFont val="Arial"/>
        <family val="2"/>
      </rPr>
      <t xml:space="preserve"> er en ledende leverandør av sikkerhetsventiler og tilbakeslagssikringer</t>
    </r>
  </si>
  <si>
    <r>
      <t>Alfa Laval</t>
    </r>
    <r>
      <rPr>
        <sz val="10"/>
        <rFont val="Arial"/>
        <family val="2"/>
      </rPr>
      <t xml:space="preserve"> er verdens ledende produsent av varmevekslere</t>
    </r>
  </si>
  <si>
    <t>Trykkreduksjonsventil</t>
  </si>
  <si>
    <r>
      <t>m</t>
    </r>
    <r>
      <rPr>
        <vertAlign val="superscript"/>
        <sz val="10"/>
        <rFont val="Arial"/>
        <family val="2"/>
      </rPr>
      <t>3</t>
    </r>
    <r>
      <rPr>
        <sz val="10"/>
        <rFont val="Arial"/>
        <family val="2"/>
      </rPr>
      <t>/h</t>
    </r>
  </si>
  <si>
    <t>SYR Trykkred.ventil 315 1 1/2" 1.5-6.0 Bar 30°C(NRF 5630023)</t>
  </si>
  <si>
    <t>SYR Trykkred.ventil 315 1 1/4" 1.5-6.0 Bar 30°C(NRF 5630019)</t>
  </si>
  <si>
    <t>SYR Trykkred.ventil 315 1" 1.5-6.0 Bar 30°C (NRF 5630016)</t>
  </si>
  <si>
    <t>SYR Trykkred.ventil 315 1/2" 1.5-6.0 Bar 30°C (NRF 5630009)</t>
  </si>
  <si>
    <t>SYR Trykkred.ventil 315 2" 1.5-6.0 Bar 30°C (NRF 5630026)</t>
  </si>
  <si>
    <t>SYR Trykkred.ventil 315 3/4" 1.5-6.0 Bar 30°C (NRF 5630013)</t>
  </si>
  <si>
    <t>Volumflow</t>
  </si>
  <si>
    <t>Type</t>
  </si>
  <si>
    <t>For å sikre riktig trykk inn på tappevannsanlegget benyttes en trykkreduksjonsventil ihht EN1567 på vanninntaket til huset/bygningen</t>
  </si>
  <si>
    <t>Ta kontakt med SGP for tilbud</t>
  </si>
  <si>
    <t>Maksimal samtidig vannmengde</t>
  </si>
  <si>
    <r>
      <t xml:space="preserve">a) </t>
    </r>
    <r>
      <rPr>
        <b/>
        <u/>
        <sz val="12"/>
        <rFont val="Arial"/>
        <family val="2"/>
      </rPr>
      <t>Beregning basert på at man kjenner anleggets volum på vannsiden i liter.</t>
    </r>
  </si>
  <si>
    <t>Trykk-kalkulasjon</t>
  </si>
  <si>
    <t>Beregning av ekspansjonskar for 3-rørs system basert på tappevann</t>
  </si>
  <si>
    <t>Vannmengde</t>
  </si>
  <si>
    <t>DD 2</t>
  </si>
  <si>
    <t>DD 8</t>
  </si>
  <si>
    <t>DD 12</t>
  </si>
  <si>
    <t>DD 18</t>
  </si>
  <si>
    <t>DD 25</t>
  </si>
  <si>
    <t>DD 33</t>
  </si>
  <si>
    <t>DT 60</t>
  </si>
  <si>
    <t>DT 80</t>
  </si>
  <si>
    <t>DT 100</t>
  </si>
  <si>
    <t>DT 200</t>
  </si>
  <si>
    <t>DT 300</t>
  </si>
  <si>
    <t>DT 400</t>
  </si>
  <si>
    <t>DT 500</t>
  </si>
  <si>
    <t>DT 600</t>
  </si>
  <si>
    <t>DT 1000</t>
  </si>
  <si>
    <t>Diameter</t>
  </si>
  <si>
    <t>Høyde</t>
  </si>
  <si>
    <t>Anslutning</t>
  </si>
  <si>
    <t>Standard ladetrykk</t>
  </si>
  <si>
    <t>G 3/4</t>
  </si>
  <si>
    <t>1,7</t>
  </si>
  <si>
    <t>2,0</t>
  </si>
  <si>
    <t>2,5</t>
  </si>
  <si>
    <t>3,3</t>
  </si>
  <si>
    <t>5,8</t>
  </si>
  <si>
    <t>Vekt</t>
  </si>
  <si>
    <t>G 1 1/4</t>
  </si>
  <si>
    <t>DN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</si>
</sst>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
    <numFmt numFmtId="167" formatCode="0.0\ %"/>
    <numFmt numFmtId="168" formatCode="_(* #,##0_);_(* \(#,##0\);_(* &quot;-&quot;??_);_(@_)"/>
    <numFmt numFmtId="169" formatCode="_ * #,##0.0_ ;_ * \-#,##0.0_ ;_ * &quot;-&quot;??_ ;_ @_ "/>
    <numFmt numFmtId="170" formatCode="_ * #,##0_ ;_ * \-#,##0_ ;_ * &quot;-&quot;??_ ;_ @_ "/>
    <numFmt numFmtId="171" formatCode="_-* #,##0.0_-;\-* #,##0.0_-;_-* &quot;-&quot;?_-;_-@_-"/>
  </numFmts>
  <fonts count="27">
    <font>
      <sz val="10"/>
      <name val="Arial"/>
    </font>
    <font>
      <b/>
      <sz val="10"/>
      <name val="Arial"/>
      <family val="2"/>
    </font>
    <font>
      <sz val="10"/>
      <name val="Arial"/>
      <family val="2"/>
    </font>
    <font>
      <b/>
      <u/>
      <sz val="18"/>
      <name val="Arial"/>
      <family val="2"/>
    </font>
    <font>
      <b/>
      <u/>
      <sz val="10"/>
      <name val="Arial"/>
      <family val="2"/>
    </font>
    <font>
      <b/>
      <u/>
      <sz val="12"/>
      <name val="Arial"/>
      <family val="2"/>
    </font>
    <font>
      <b/>
      <sz val="11"/>
      <name val="Arial"/>
      <family val="2"/>
    </font>
    <font>
      <u/>
      <sz val="10"/>
      <name val="Arial"/>
      <family val="2"/>
    </font>
    <font>
      <b/>
      <sz val="12"/>
      <name val="Arial"/>
      <family val="2"/>
    </font>
    <font>
      <sz val="12"/>
      <name val="Arial"/>
      <family val="2"/>
    </font>
    <font>
      <b/>
      <u val="double"/>
      <sz val="10"/>
      <name val="Arial"/>
      <family val="2"/>
    </font>
    <font>
      <b/>
      <sz val="10"/>
      <name val="Arial"/>
      <family val="2"/>
    </font>
    <font>
      <sz val="10"/>
      <color indexed="8"/>
      <name val="Arial"/>
      <family val="2"/>
    </font>
    <font>
      <sz val="10"/>
      <name val="Arial"/>
      <family val="2"/>
    </font>
    <font>
      <sz val="8"/>
      <color indexed="81"/>
      <name val="Tahoma"/>
      <family val="2"/>
    </font>
    <font>
      <b/>
      <sz val="14"/>
      <name val="Arial"/>
      <family val="2"/>
    </font>
    <font>
      <sz val="10"/>
      <color indexed="22"/>
      <name val="Arial"/>
      <family val="2"/>
    </font>
    <font>
      <b/>
      <sz val="8"/>
      <color indexed="81"/>
      <name val="Tahoma"/>
      <family val="2"/>
    </font>
    <font>
      <sz val="10"/>
      <name val="Arial"/>
      <family val="2"/>
    </font>
    <font>
      <sz val="9"/>
      <color indexed="81"/>
      <name val="Tahoma"/>
      <family val="2"/>
    </font>
    <font>
      <b/>
      <sz val="9"/>
      <color indexed="81"/>
      <name val="Tahoma"/>
      <family val="2"/>
    </font>
    <font>
      <sz val="10"/>
      <color theme="0" tint="-0.249977111117893"/>
      <name val="Arial"/>
      <family val="2"/>
    </font>
    <font>
      <sz val="10"/>
      <color theme="0"/>
      <name val="Arial"/>
      <family val="2"/>
    </font>
    <font>
      <sz val="10"/>
      <color theme="0" tint="-0.14999847407452621"/>
      <name val="Arial"/>
      <family val="2"/>
    </font>
    <font>
      <sz val="10"/>
      <color rgb="FFFF0000"/>
      <name val="Arial"/>
      <family val="2"/>
    </font>
    <font>
      <vertAlign val="superscript"/>
      <sz val="10"/>
      <name val="Arial"/>
      <family val="2"/>
    </font>
    <font>
      <sz val="9"/>
      <color rgb="FF242021"/>
      <name val="ArialMT"/>
    </font>
  </fonts>
  <fills count="10">
    <fill>
      <patternFill patternType="none"/>
    </fill>
    <fill>
      <patternFill patternType="gray125"/>
    </fill>
    <fill>
      <patternFill patternType="solid">
        <fgColor indexed="13"/>
        <bgColor indexed="64"/>
      </patternFill>
    </fill>
    <fill>
      <patternFill patternType="solid">
        <fgColor indexed="14"/>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cellStyleXfs>
  <cellXfs count="266">
    <xf numFmtId="0" fontId="0" fillId="0" borderId="0" xfId="0"/>
    <xf numFmtId="0" fontId="0" fillId="0" borderId="0" xfId="0" applyAlignment="1">
      <alignment horizontal="center"/>
    </xf>
    <xf numFmtId="0" fontId="3" fillId="0" borderId="0" xfId="0" applyFont="1"/>
    <xf numFmtId="0" fontId="4" fillId="0" borderId="0" xfId="0" applyFont="1"/>
    <xf numFmtId="0" fontId="1" fillId="0" borderId="0" xfId="0" applyFont="1"/>
    <xf numFmtId="0" fontId="6" fillId="0" borderId="0" xfId="0" applyFont="1"/>
    <xf numFmtId="9" fontId="0" fillId="0" borderId="0" xfId="0" applyNumberFormat="1" applyAlignment="1">
      <alignment horizontal="center"/>
    </xf>
    <xf numFmtId="1" fontId="0" fillId="0" borderId="0" xfId="0" applyNumberFormat="1"/>
    <xf numFmtId="167" fontId="2" fillId="0" borderId="0" xfId="2" applyNumberFormat="1"/>
    <xf numFmtId="1" fontId="2" fillId="0" borderId="0" xfId="0" applyNumberFormat="1" applyFont="1"/>
    <xf numFmtId="167" fontId="1" fillId="0" borderId="0" xfId="2" applyNumberFormat="1" applyFont="1"/>
    <xf numFmtId="0" fontId="8" fillId="0" borderId="0" xfId="0" applyFont="1"/>
    <xf numFmtId="0" fontId="9" fillId="0" borderId="0" xfId="0" applyFont="1"/>
    <xf numFmtId="0" fontId="7" fillId="0" borderId="0" xfId="0" applyFont="1"/>
    <xf numFmtId="0" fontId="2" fillId="0" borderId="0" xfId="0" applyFont="1"/>
    <xf numFmtId="0" fontId="0" fillId="0" borderId="0" xfId="0" applyAlignment="1">
      <alignment horizontal="left"/>
    </xf>
    <xf numFmtId="1" fontId="4" fillId="0" borderId="0" xfId="0" applyNumberFormat="1" applyFont="1"/>
    <xf numFmtId="9" fontId="0" fillId="0" borderId="0" xfId="0" applyNumberFormat="1"/>
    <xf numFmtId="10" fontId="2" fillId="0" borderId="0" xfId="2" applyNumberFormat="1" applyAlignment="1">
      <alignment horizontal="center"/>
    </xf>
    <xf numFmtId="10" fontId="2" fillId="0" borderId="0" xfId="2" applyNumberFormat="1"/>
    <xf numFmtId="166" fontId="0" fillId="0" borderId="0" xfId="0" applyNumberFormat="1"/>
    <xf numFmtId="3" fontId="0" fillId="0" borderId="0" xfId="0" applyNumberFormat="1"/>
    <xf numFmtId="0" fontId="1" fillId="0" borderId="0" xfId="0" applyFont="1" applyAlignment="1">
      <alignment vertical="center"/>
    </xf>
    <xf numFmtId="0" fontId="0" fillId="0" borderId="0" xfId="0" applyAlignment="1">
      <alignment vertical="center"/>
    </xf>
    <xf numFmtId="1" fontId="10" fillId="0" borderId="1" xfId="0" applyNumberFormat="1" applyFont="1" applyBorder="1" applyAlignment="1">
      <alignment vertical="center"/>
    </xf>
    <xf numFmtId="10" fontId="0" fillId="0" borderId="0" xfId="2" applyNumberFormat="1" applyFont="1"/>
    <xf numFmtId="0" fontId="11" fillId="0" borderId="0" xfId="0" applyFont="1"/>
    <xf numFmtId="10" fontId="12" fillId="0" borderId="0" xfId="2" applyNumberFormat="1" applyFont="1" applyAlignment="1">
      <alignment vertical="top" wrapText="1"/>
    </xf>
    <xf numFmtId="0" fontId="0" fillId="2" borderId="0" xfId="0" applyFill="1"/>
    <xf numFmtId="165" fontId="2" fillId="0" borderId="0" xfId="3"/>
    <xf numFmtId="165" fontId="13" fillId="0" borderId="0" xfId="3" applyFont="1"/>
    <xf numFmtId="165" fontId="0" fillId="0" borderId="0" xfId="0" applyNumberFormat="1"/>
    <xf numFmtId="0" fontId="0" fillId="0" borderId="0" xfId="0" applyAlignment="1">
      <alignment horizontal="right"/>
    </xf>
    <xf numFmtId="168" fontId="2" fillId="0" borderId="0" xfId="3" applyNumberFormat="1"/>
    <xf numFmtId="168" fontId="0" fillId="0" borderId="0" xfId="0" applyNumberFormat="1"/>
    <xf numFmtId="0" fontId="0" fillId="0" borderId="0" xfId="0" applyFill="1"/>
    <xf numFmtId="168" fontId="2" fillId="0" borderId="0" xfId="3" applyNumberFormat="1" applyFill="1"/>
    <xf numFmtId="0" fontId="0" fillId="3" borderId="0" xfId="0" applyFill="1"/>
    <xf numFmtId="165" fontId="2" fillId="0" borderId="0" xfId="3" applyNumberFormat="1"/>
    <xf numFmtId="168" fontId="0" fillId="3" borderId="0" xfId="0" applyNumberFormat="1" applyFill="1"/>
    <xf numFmtId="170" fontId="0" fillId="0" borderId="0" xfId="0" applyNumberFormat="1"/>
    <xf numFmtId="0" fontId="11" fillId="0" borderId="0" xfId="0" applyFont="1" applyAlignment="1">
      <alignment horizontal="right"/>
    </xf>
    <xf numFmtId="0" fontId="13" fillId="0" borderId="0" xfId="0" applyFont="1" applyFill="1"/>
    <xf numFmtId="1" fontId="13" fillId="0" borderId="0" xfId="0" applyNumberFormat="1" applyFont="1"/>
    <xf numFmtId="170" fontId="0" fillId="0" borderId="0" xfId="1" applyNumberFormat="1" applyFont="1"/>
    <xf numFmtId="170" fontId="0" fillId="0" borderId="0" xfId="1" applyNumberFormat="1" applyFont="1" applyFill="1"/>
    <xf numFmtId="0" fontId="13" fillId="0" borderId="0" xfId="0" applyFont="1"/>
    <xf numFmtId="0" fontId="11" fillId="0" borderId="0" xfId="0" applyFont="1" applyAlignment="1">
      <alignment horizontal="left"/>
    </xf>
    <xf numFmtId="0" fontId="0" fillId="0" borderId="0" xfId="0" quotePrefix="1"/>
    <xf numFmtId="170" fontId="11" fillId="0" borderId="0" xfId="1" applyNumberFormat="1" applyFont="1"/>
    <xf numFmtId="0" fontId="0" fillId="0" borderId="0" xfId="0" applyAlignment="1">
      <alignment wrapText="1"/>
    </xf>
    <xf numFmtId="0" fontId="6" fillId="0" borderId="0" xfId="0" applyFont="1" applyBorder="1" applyAlignment="1">
      <alignment vertical="top" wrapText="1"/>
    </xf>
    <xf numFmtId="0" fontId="13" fillId="0" borderId="0" xfId="0" applyFont="1" applyFill="1" applyBorder="1" applyAlignment="1">
      <alignment vertical="top" wrapText="1"/>
    </xf>
    <xf numFmtId="0" fontId="8" fillId="0" borderId="0" xfId="0" applyFont="1" applyBorder="1" applyAlignment="1">
      <alignment horizontal="center" vertical="top" wrapText="1"/>
    </xf>
    <xf numFmtId="0" fontId="11" fillId="0" borderId="0" xfId="0" applyFont="1" applyBorder="1" applyAlignment="1">
      <alignment vertical="top" wrapText="1"/>
    </xf>
    <xf numFmtId="0" fontId="11" fillId="0" borderId="0" xfId="0" applyFont="1" applyFill="1" applyBorder="1" applyAlignment="1">
      <alignment vertical="top" wrapText="1"/>
    </xf>
    <xf numFmtId="0" fontId="13" fillId="0" borderId="0" xfId="0" applyFont="1" applyBorder="1" applyAlignment="1">
      <alignment horizontal="center" vertical="top" wrapText="1"/>
    </xf>
    <xf numFmtId="0" fontId="6" fillId="0" borderId="0" xfId="0" applyFont="1" applyBorder="1" applyAlignment="1">
      <alignment horizontal="right" vertical="top" wrapText="1"/>
    </xf>
    <xf numFmtId="164" fontId="0" fillId="0" borderId="0" xfId="1" applyFont="1"/>
    <xf numFmtId="0" fontId="0" fillId="4" borderId="0" xfId="0" applyFill="1"/>
    <xf numFmtId="0" fontId="0" fillId="4" borderId="0" xfId="0" applyFill="1" applyAlignment="1">
      <alignment horizontal="left" wrapText="1"/>
    </xf>
    <xf numFmtId="0" fontId="0" fillId="4" borderId="0" xfId="0" applyFill="1" applyAlignment="1">
      <alignment wrapText="1"/>
    </xf>
    <xf numFmtId="49" fontId="0" fillId="0" borderId="0" xfId="0" applyNumberFormat="1"/>
    <xf numFmtId="0" fontId="15" fillId="5" borderId="0" xfId="0" applyFont="1" applyFill="1"/>
    <xf numFmtId="0" fontId="13" fillId="5" borderId="0" xfId="0" applyFont="1" applyFill="1"/>
    <xf numFmtId="0" fontId="13" fillId="5" borderId="0" xfId="0" applyFont="1" applyFill="1" applyAlignment="1">
      <alignment horizontal="left" wrapText="1"/>
    </xf>
    <xf numFmtId="0" fontId="13" fillId="5" borderId="0" xfId="0" applyFont="1" applyFill="1" applyAlignment="1">
      <alignment wrapText="1"/>
    </xf>
    <xf numFmtId="0" fontId="13" fillId="5" borderId="0" xfId="0" applyFont="1" applyFill="1" applyAlignment="1"/>
    <xf numFmtId="0" fontId="11" fillId="5" borderId="2" xfId="0" applyFont="1" applyFill="1" applyBorder="1"/>
    <xf numFmtId="0" fontId="13" fillId="5" borderId="3" xfId="0" applyFont="1" applyFill="1" applyBorder="1"/>
    <xf numFmtId="0" fontId="13" fillId="5" borderId="4" xfId="0" applyFont="1" applyFill="1" applyBorder="1"/>
    <xf numFmtId="0" fontId="13" fillId="5" borderId="5" xfId="0" applyFont="1" applyFill="1" applyBorder="1"/>
    <xf numFmtId="0" fontId="13" fillId="5" borderId="0" xfId="0" applyFont="1" applyFill="1" applyBorder="1"/>
    <xf numFmtId="9" fontId="13" fillId="5" borderId="0" xfId="2" applyNumberFormat="1" applyFont="1" applyFill="1" applyBorder="1"/>
    <xf numFmtId="0" fontId="13" fillId="5" borderId="6" xfId="0" applyFont="1" applyFill="1" applyBorder="1"/>
    <xf numFmtId="170" fontId="13" fillId="5" borderId="0" xfId="1" applyNumberFormat="1" applyFont="1" applyFill="1" applyBorder="1"/>
    <xf numFmtId="0" fontId="13" fillId="5" borderId="0" xfId="0" applyFont="1" applyFill="1" applyBorder="1" applyAlignment="1">
      <alignment vertical="top"/>
    </xf>
    <xf numFmtId="0" fontId="13" fillId="5" borderId="0" xfId="0" applyFont="1" applyFill="1" applyBorder="1" applyAlignment="1">
      <alignment horizontal="left" wrapText="1"/>
    </xf>
    <xf numFmtId="0" fontId="13" fillId="5" borderId="6" xfId="0" applyFont="1" applyFill="1" applyBorder="1" applyAlignment="1">
      <alignment horizontal="left" wrapText="1"/>
    </xf>
    <xf numFmtId="0" fontId="13" fillId="5" borderId="7" xfId="0" applyFont="1" applyFill="1" applyBorder="1"/>
    <xf numFmtId="0" fontId="13" fillId="5" borderId="8" xfId="0" applyFont="1" applyFill="1" applyBorder="1"/>
    <xf numFmtId="0" fontId="13" fillId="5" borderId="8" xfId="0" applyFont="1" applyFill="1" applyBorder="1" applyAlignment="1">
      <alignment wrapText="1"/>
    </xf>
    <xf numFmtId="0" fontId="13" fillId="5" borderId="9" xfId="0" applyFont="1" applyFill="1" applyBorder="1" applyAlignment="1">
      <alignment wrapText="1"/>
    </xf>
    <xf numFmtId="0" fontId="0" fillId="5" borderId="0" xfId="0" applyFill="1"/>
    <xf numFmtId="0" fontId="13" fillId="5" borderId="3" xfId="0" applyFont="1" applyFill="1" applyBorder="1" applyAlignment="1"/>
    <xf numFmtId="0" fontId="13" fillId="5" borderId="4" xfId="0" applyFont="1" applyFill="1" applyBorder="1" applyAlignment="1"/>
    <xf numFmtId="0" fontId="13" fillId="5" borderId="0" xfId="0" applyFont="1" applyFill="1" applyBorder="1" applyAlignment="1">
      <alignment wrapText="1"/>
    </xf>
    <xf numFmtId="0" fontId="13" fillId="5" borderId="6" xfId="0" applyFont="1" applyFill="1" applyBorder="1" applyAlignment="1">
      <alignment wrapText="1"/>
    </xf>
    <xf numFmtId="0" fontId="13" fillId="5" borderId="9" xfId="0" applyFont="1" applyFill="1" applyBorder="1"/>
    <xf numFmtId="0" fontId="13" fillId="5" borderId="3" xfId="0" applyFont="1" applyFill="1" applyBorder="1" applyAlignment="1">
      <alignment horizontal="right"/>
    </xf>
    <xf numFmtId="0" fontId="13" fillId="5" borderId="0" xfId="0" applyFont="1" applyFill="1" applyBorder="1" applyAlignment="1">
      <alignment horizontal="right" vertical="top"/>
    </xf>
    <xf numFmtId="0" fontId="13" fillId="5" borderId="0" xfId="0" applyFont="1" applyFill="1" applyBorder="1" applyAlignment="1">
      <alignment horizontal="right"/>
    </xf>
    <xf numFmtId="0" fontId="13" fillId="5" borderId="8" xfId="0" applyFont="1" applyFill="1" applyBorder="1" applyAlignment="1">
      <alignment horizontal="right"/>
    </xf>
    <xf numFmtId="0" fontId="13" fillId="5" borderId="0" xfId="0" applyFont="1" applyFill="1" applyAlignment="1">
      <alignment horizontal="right"/>
    </xf>
    <xf numFmtId="170" fontId="13" fillId="5" borderId="0" xfId="1" applyNumberFormat="1" applyFont="1" applyFill="1"/>
    <xf numFmtId="0" fontId="0" fillId="5" borderId="0" xfId="0" applyFill="1" applyAlignment="1">
      <alignment wrapText="1"/>
    </xf>
    <xf numFmtId="0" fontId="11" fillId="5" borderId="0" xfId="0" applyFont="1" applyFill="1"/>
    <xf numFmtId="0" fontId="11" fillId="4" borderId="0" xfId="0" applyFont="1" applyFill="1"/>
    <xf numFmtId="0" fontId="0" fillId="5" borderId="0" xfId="0" applyFill="1" applyAlignment="1">
      <alignment vertical="center" wrapText="1"/>
    </xf>
    <xf numFmtId="0" fontId="0" fillId="4" borderId="0" xfId="0" applyFill="1" applyAlignment="1">
      <alignment vertical="center" wrapText="1"/>
    </xf>
    <xf numFmtId="170" fontId="0" fillId="5" borderId="0" xfId="1" applyNumberFormat="1" applyFont="1" applyFill="1"/>
    <xf numFmtId="0" fontId="0" fillId="2" borderId="0" xfId="1" applyNumberFormat="1" applyFont="1" applyFill="1"/>
    <xf numFmtId="1" fontId="13" fillId="5" borderId="0" xfId="0" applyNumberFormat="1" applyFont="1" applyFill="1"/>
    <xf numFmtId="0" fontId="11" fillId="5" borderId="0" xfId="0" applyFont="1" applyFill="1" applyBorder="1" applyAlignment="1">
      <alignment horizontal="right" vertical="top"/>
    </xf>
    <xf numFmtId="10" fontId="0" fillId="0" borderId="0" xfId="0" applyNumberFormat="1"/>
    <xf numFmtId="0" fontId="13" fillId="5" borderId="0" xfId="0" applyFont="1" applyFill="1" applyBorder="1" applyAlignment="1">
      <alignment horizontal="left" vertical="top" wrapText="1"/>
    </xf>
    <xf numFmtId="0" fontId="21" fillId="6" borderId="0" xfId="0" applyFont="1" applyFill="1"/>
    <xf numFmtId="0" fontId="21" fillId="6" borderId="0" xfId="0" applyFont="1" applyFill="1" applyAlignment="1">
      <alignment vertical="top"/>
    </xf>
    <xf numFmtId="0" fontId="21" fillId="6" borderId="0" xfId="0" applyFont="1" applyFill="1" applyAlignment="1">
      <alignment wrapText="1"/>
    </xf>
    <xf numFmtId="0" fontId="2" fillId="5" borderId="0" xfId="0" applyFont="1" applyFill="1"/>
    <xf numFmtId="170" fontId="22" fillId="5" borderId="0" xfId="1" applyNumberFormat="1" applyFont="1" applyFill="1"/>
    <xf numFmtId="164" fontId="13" fillId="5" borderId="0" xfId="0" applyNumberFormat="1" applyFont="1" applyFill="1" applyBorder="1"/>
    <xf numFmtId="164" fontId="13" fillId="5" borderId="8" xfId="0" applyNumberFormat="1" applyFont="1" applyFill="1" applyBorder="1"/>
    <xf numFmtId="170" fontId="18" fillId="7" borderId="0" xfId="1" applyNumberFormat="1" applyFont="1" applyFill="1"/>
    <xf numFmtId="169" fontId="0" fillId="0" borderId="0" xfId="1" applyNumberFormat="1" applyFont="1"/>
    <xf numFmtId="0" fontId="2" fillId="7" borderId="0" xfId="0" applyFont="1" applyFill="1"/>
    <xf numFmtId="0" fontId="2" fillId="9" borderId="0" xfId="0" applyFont="1" applyFill="1"/>
    <xf numFmtId="0" fontId="15" fillId="7" borderId="0" xfId="0" applyFont="1" applyFill="1"/>
    <xf numFmtId="170" fontId="2" fillId="7" borderId="0" xfId="1" applyNumberFormat="1" applyFont="1" applyFill="1"/>
    <xf numFmtId="0" fontId="2" fillId="9" borderId="0" xfId="0" applyFont="1" applyFill="1" applyBorder="1" applyAlignment="1">
      <alignment vertical="top" wrapText="1"/>
    </xf>
    <xf numFmtId="0" fontId="2" fillId="9" borderId="0" xfId="0" applyFont="1" applyFill="1" applyAlignment="1">
      <alignment horizontal="left" wrapText="1"/>
    </xf>
    <xf numFmtId="0" fontId="11" fillId="7" borderId="2" xfId="0" applyFont="1" applyFill="1" applyBorder="1"/>
    <xf numFmtId="0" fontId="2" fillId="7" borderId="3" xfId="0" applyFont="1" applyFill="1" applyBorder="1"/>
    <xf numFmtId="0" fontId="2" fillId="7" borderId="4" xfId="0" applyFont="1" applyFill="1" applyBorder="1"/>
    <xf numFmtId="0" fontId="2" fillId="9" borderId="0" xfId="0" applyFont="1" applyFill="1" applyAlignment="1">
      <alignment wrapText="1"/>
    </xf>
    <xf numFmtId="0" fontId="2" fillId="7" borderId="5" xfId="0" applyFont="1" applyFill="1" applyBorder="1"/>
    <xf numFmtId="0" fontId="2" fillId="7" borderId="0" xfId="0" applyFont="1" applyFill="1" applyBorder="1"/>
    <xf numFmtId="9" fontId="2" fillId="7" borderId="0" xfId="2" applyNumberFormat="1" applyFont="1" applyFill="1"/>
    <xf numFmtId="0" fontId="2" fillId="7" borderId="6" xfId="0" applyFont="1" applyFill="1" applyBorder="1"/>
    <xf numFmtId="0" fontId="2" fillId="9" borderId="0" xfId="0" applyFont="1" applyFill="1" applyAlignment="1"/>
    <xf numFmtId="170" fontId="2" fillId="7" borderId="0" xfId="1" applyNumberFormat="1" applyFont="1" applyFill="1" applyBorder="1"/>
    <xf numFmtId="0" fontId="2" fillId="7" borderId="0" xfId="0" applyFont="1" applyFill="1" applyAlignment="1">
      <alignment horizontal="left" wrapText="1"/>
    </xf>
    <xf numFmtId="0" fontId="2" fillId="7" borderId="0" xfId="0" applyFont="1" applyFill="1" applyBorder="1" applyAlignment="1">
      <alignment vertical="top"/>
    </xf>
    <xf numFmtId="0" fontId="11" fillId="7" borderId="0" xfId="0" applyFont="1" applyFill="1" applyBorder="1" applyAlignment="1">
      <alignment horizontal="right" vertical="top"/>
    </xf>
    <xf numFmtId="0" fontId="2" fillId="7" borderId="0" xfId="0" applyFont="1" applyFill="1" applyBorder="1" applyAlignment="1">
      <alignment horizontal="left" vertical="top" wrapText="1"/>
    </xf>
    <xf numFmtId="0" fontId="2" fillId="7" borderId="6" xfId="0" applyFont="1" applyFill="1" applyBorder="1" applyAlignment="1">
      <alignment horizontal="left" wrapText="1"/>
    </xf>
    <xf numFmtId="0" fontId="2" fillId="7" borderId="0" xfId="0" applyFont="1" applyFill="1" applyAlignment="1">
      <alignment wrapText="1"/>
    </xf>
    <xf numFmtId="0" fontId="2" fillId="7" borderId="7" xfId="0" applyFont="1" applyFill="1" applyBorder="1"/>
    <xf numFmtId="0" fontId="2" fillId="7" borderId="8" xfId="0" applyFont="1" applyFill="1" applyBorder="1"/>
    <xf numFmtId="0" fontId="2" fillId="7" borderId="8" xfId="0" applyFont="1" applyFill="1" applyBorder="1" applyAlignment="1">
      <alignment horizontal="right"/>
    </xf>
    <xf numFmtId="0" fontId="2" fillId="7" borderId="8" xfId="0" applyFont="1" applyFill="1" applyBorder="1" applyAlignment="1">
      <alignment wrapText="1"/>
    </xf>
    <xf numFmtId="0" fontId="2" fillId="7" borderId="9" xfId="0" applyFont="1" applyFill="1" applyBorder="1" applyAlignment="1">
      <alignment wrapText="1"/>
    </xf>
    <xf numFmtId="0" fontId="2" fillId="7" borderId="0" xfId="0" applyFont="1" applyFill="1" applyAlignment="1"/>
    <xf numFmtId="0" fontId="2" fillId="9" borderId="0" xfId="0" applyFont="1" applyFill="1" applyAlignment="1">
      <alignment horizontal="right"/>
    </xf>
    <xf numFmtId="1" fontId="2" fillId="9" borderId="0" xfId="0" applyNumberFormat="1" applyFont="1" applyFill="1"/>
    <xf numFmtId="0" fontId="23" fillId="9" borderId="0" xfId="0" applyFont="1" applyFill="1"/>
    <xf numFmtId="0" fontId="23" fillId="9" borderId="0" xfId="0" applyFont="1" applyFill="1" applyAlignment="1">
      <alignment vertical="top"/>
    </xf>
    <xf numFmtId="0" fontId="23" fillId="9" borderId="0" xfId="0" applyFont="1" applyFill="1" applyAlignment="1">
      <alignment wrapText="1"/>
    </xf>
    <xf numFmtId="16" fontId="2" fillId="0" borderId="0" xfId="0" quotePrefix="1" applyNumberFormat="1" applyFont="1"/>
    <xf numFmtId="0" fontId="2" fillId="0" borderId="0" xfId="0" quotePrefix="1" applyFont="1"/>
    <xf numFmtId="0" fontId="11" fillId="0" borderId="10" xfId="0" applyFont="1" applyBorder="1"/>
    <xf numFmtId="0" fontId="0" fillId="0" borderId="11" xfId="0" applyBorder="1"/>
    <xf numFmtId="0" fontId="1" fillId="0" borderId="12" xfId="0" applyFont="1" applyBorder="1"/>
    <xf numFmtId="0" fontId="11" fillId="0" borderId="13" xfId="0" applyFont="1" applyBorder="1" applyAlignment="1">
      <alignment horizontal="center"/>
    </xf>
    <xf numFmtId="0" fontId="2" fillId="0" borderId="12" xfId="0" applyFont="1" applyBorder="1"/>
    <xf numFmtId="0" fontId="2" fillId="0" borderId="13" xfId="0" applyFont="1" applyBorder="1"/>
    <xf numFmtId="0" fontId="0" fillId="0" borderId="13" xfId="0" applyBorder="1"/>
    <xf numFmtId="0" fontId="0" fillId="0" borderId="15" xfId="0" applyBorder="1"/>
    <xf numFmtId="0" fontId="1" fillId="0" borderId="10" xfId="0" applyFont="1" applyBorder="1"/>
    <xf numFmtId="0" fontId="0" fillId="0" borderId="16" xfId="0" applyBorder="1"/>
    <xf numFmtId="0" fontId="1" fillId="0" borderId="0" xfId="0" applyFont="1" applyBorder="1" applyAlignment="1">
      <alignment horizontal="center"/>
    </xf>
    <xf numFmtId="0" fontId="1" fillId="0" borderId="0" xfId="0" applyFont="1" applyBorder="1"/>
    <xf numFmtId="0" fontId="1" fillId="0" borderId="13"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2" fillId="0" borderId="13" xfId="0" applyFont="1" applyBorder="1" applyAlignment="1">
      <alignment horizontal="center"/>
    </xf>
    <xf numFmtId="0" fontId="0" fillId="0" borderId="0" xfId="0" applyBorder="1" applyAlignment="1">
      <alignment horizontal="center"/>
    </xf>
    <xf numFmtId="0" fontId="0" fillId="0" borderId="13" xfId="0" applyBorder="1" applyAlignment="1">
      <alignment horizontal="center"/>
    </xf>
    <xf numFmtId="0" fontId="0" fillId="0" borderId="17" xfId="0" applyBorder="1" applyAlignment="1">
      <alignment horizontal="center"/>
    </xf>
    <xf numFmtId="0" fontId="0" fillId="0" borderId="15" xfId="0" applyBorder="1" applyAlignment="1">
      <alignment horizontal="center"/>
    </xf>
    <xf numFmtId="0" fontId="2" fillId="0" borderId="13" xfId="0" applyFont="1" applyBorder="1" applyAlignment="1">
      <alignment horizontal="right"/>
    </xf>
    <xf numFmtId="0" fontId="2" fillId="0" borderId="0" xfId="0" applyFont="1" applyAlignment="1">
      <alignment horizontal="right"/>
    </xf>
    <xf numFmtId="0" fontId="2" fillId="0" borderId="0" xfId="0" applyFont="1" applyAlignment="1">
      <alignment wrapText="1"/>
    </xf>
    <xf numFmtId="0" fontId="13" fillId="5" borderId="0" xfId="0" applyFont="1" applyFill="1" applyBorder="1" applyAlignment="1">
      <alignment vertical="top" wrapText="1"/>
    </xf>
    <xf numFmtId="0" fontId="13" fillId="5" borderId="2" xfId="0" applyFont="1" applyFill="1" applyBorder="1"/>
    <xf numFmtId="169" fontId="0" fillId="0" borderId="0" xfId="0" applyNumberFormat="1"/>
    <xf numFmtId="0" fontId="11" fillId="5" borderId="3" xfId="0" applyFont="1" applyFill="1" applyBorder="1"/>
    <xf numFmtId="0" fontId="11" fillId="5" borderId="0" xfId="0" applyFont="1" applyFill="1" applyBorder="1" applyAlignment="1">
      <alignment horizontal="right" vertical="top" wrapText="1"/>
    </xf>
    <xf numFmtId="0" fontId="21" fillId="4" borderId="0" xfId="0" applyFont="1" applyFill="1"/>
    <xf numFmtId="0" fontId="2" fillId="4" borderId="0" xfId="0" applyFont="1" applyFill="1"/>
    <xf numFmtId="0" fontId="0" fillId="7" borderId="0" xfId="0" applyFill="1"/>
    <xf numFmtId="0" fontId="0" fillId="7" borderId="3" xfId="0" applyFill="1" applyBorder="1"/>
    <xf numFmtId="0" fontId="0" fillId="7" borderId="4" xfId="0" applyFill="1" applyBorder="1"/>
    <xf numFmtId="0" fontId="0" fillId="7" borderId="7" xfId="0" applyFill="1" applyBorder="1"/>
    <xf numFmtId="0" fontId="0" fillId="7" borderId="9" xfId="0" applyFill="1" applyBorder="1"/>
    <xf numFmtId="0" fontId="21" fillId="4" borderId="0" xfId="0" applyFont="1" applyFill="1" applyBorder="1" applyAlignment="1">
      <alignment vertical="top" wrapText="1"/>
    </xf>
    <xf numFmtId="0" fontId="21" fillId="4" borderId="0" xfId="0" applyFont="1" applyFill="1" applyAlignment="1">
      <alignment horizontal="left" wrapText="1"/>
    </xf>
    <xf numFmtId="0" fontId="21" fillId="4" borderId="0" xfId="0" applyFont="1" applyFill="1" applyAlignment="1">
      <alignment wrapText="1"/>
    </xf>
    <xf numFmtId="0" fontId="21" fillId="4" borderId="0" xfId="0" applyFont="1" applyFill="1" applyAlignment="1"/>
    <xf numFmtId="9" fontId="21" fillId="4" borderId="0" xfId="2" applyFont="1" applyFill="1"/>
    <xf numFmtId="170" fontId="21" fillId="4" borderId="0" xfId="1" applyNumberFormat="1" applyFont="1" applyFill="1"/>
    <xf numFmtId="9" fontId="21" fillId="4" borderId="0" xfId="0" applyNumberFormat="1" applyFont="1" applyFill="1"/>
    <xf numFmtId="10" fontId="21" fillId="4" borderId="0" xfId="0" applyNumberFormat="1" applyFont="1" applyFill="1"/>
    <xf numFmtId="0" fontId="0" fillId="7" borderId="8" xfId="0" applyFill="1" applyBorder="1" applyAlignment="1">
      <alignment vertical="top" wrapText="1"/>
    </xf>
    <xf numFmtId="0" fontId="0" fillId="7" borderId="8" xfId="0" applyFill="1" applyBorder="1" applyAlignment="1">
      <alignment vertical="top"/>
    </xf>
    <xf numFmtId="0" fontId="11" fillId="7" borderId="8" xfId="0" applyFont="1" applyFill="1" applyBorder="1" applyAlignment="1">
      <alignment vertical="top"/>
    </xf>
    <xf numFmtId="0" fontId="2" fillId="5" borderId="0" xfId="0" applyFont="1" applyFill="1" applyBorder="1"/>
    <xf numFmtId="0" fontId="0" fillId="0" borderId="0" xfId="0" applyFont="1" applyAlignment="1">
      <alignment horizontal="right"/>
    </xf>
    <xf numFmtId="1" fontId="0" fillId="0" borderId="18" xfId="0" applyNumberFormat="1" applyBorder="1"/>
    <xf numFmtId="0" fontId="2" fillId="0" borderId="18" xfId="0" applyFont="1" applyBorder="1"/>
    <xf numFmtId="0" fontId="0" fillId="9" borderId="0" xfId="0" applyFill="1"/>
    <xf numFmtId="0" fontId="11" fillId="9" borderId="0" xfId="0" applyFont="1" applyFill="1"/>
    <xf numFmtId="0" fontId="22" fillId="9" borderId="0" xfId="0" applyFont="1" applyFill="1"/>
    <xf numFmtId="169" fontId="0" fillId="7" borderId="0" xfId="1" applyNumberFormat="1" applyFont="1" applyFill="1"/>
    <xf numFmtId="0" fontId="11" fillId="7" borderId="0" xfId="0" applyFont="1" applyFill="1"/>
    <xf numFmtId="169" fontId="11" fillId="7" borderId="0" xfId="1" applyNumberFormat="1" applyFont="1" applyFill="1"/>
    <xf numFmtId="167" fontId="0" fillId="7" borderId="0" xfId="2" applyNumberFormat="1" applyFont="1" applyFill="1"/>
    <xf numFmtId="169" fontId="1" fillId="7" borderId="0" xfId="1" applyNumberFormat="1" applyFont="1" applyFill="1"/>
    <xf numFmtId="169" fontId="2" fillId="7" borderId="0" xfId="1" applyNumberFormat="1" applyFont="1" applyFill="1"/>
    <xf numFmtId="0" fontId="2" fillId="7" borderId="0" xfId="0" applyFont="1" applyFill="1" applyAlignment="1">
      <alignment vertical="top"/>
    </xf>
    <xf numFmtId="0" fontId="23" fillId="9" borderId="0" xfId="0" quotePrefix="1" applyFont="1" applyFill="1"/>
    <xf numFmtId="0" fontId="1" fillId="7" borderId="0" xfId="0" applyFont="1" applyFill="1"/>
    <xf numFmtId="0" fontId="1" fillId="7" borderId="0" xfId="0" applyFont="1" applyFill="1" applyAlignment="1">
      <alignment vertical="center"/>
    </xf>
    <xf numFmtId="0" fontId="2" fillId="5" borderId="0" xfId="0" applyFont="1" applyFill="1" applyAlignment="1">
      <alignment wrapText="1"/>
    </xf>
    <xf numFmtId="0" fontId="2" fillId="5" borderId="0" xfId="0" applyFont="1" applyFill="1" applyAlignment="1"/>
    <xf numFmtId="0" fontId="13" fillId="7" borderId="0" xfId="0" applyFont="1" applyFill="1" applyAlignment="1">
      <alignment horizontal="right"/>
    </xf>
    <xf numFmtId="0" fontId="13" fillId="6" borderId="0" xfId="0" applyFont="1" applyFill="1" applyAlignment="1">
      <alignment horizontal="right"/>
    </xf>
    <xf numFmtId="0" fontId="13" fillId="7" borderId="0" xfId="0" applyFont="1" applyFill="1"/>
    <xf numFmtId="0" fontId="13" fillId="7" borderId="0" xfId="0" applyFont="1" applyFill="1" applyAlignment="1"/>
    <xf numFmtId="0" fontId="0" fillId="6" borderId="0" xfId="0" applyFill="1"/>
    <xf numFmtId="0" fontId="13" fillId="6" borderId="0" xfId="0" applyFont="1" applyFill="1"/>
    <xf numFmtId="0" fontId="13" fillId="6" borderId="0" xfId="0" applyFont="1" applyFill="1" applyAlignment="1"/>
    <xf numFmtId="0" fontId="0" fillId="6" borderId="0" xfId="0" applyFill="1" applyAlignment="1"/>
    <xf numFmtId="0" fontId="24" fillId="6" borderId="0" xfId="0" applyFont="1" applyFill="1"/>
    <xf numFmtId="0" fontId="1" fillId="5" borderId="0" xfId="0" applyFont="1" applyFill="1" applyAlignment="1">
      <alignment horizontal="right"/>
    </xf>
    <xf numFmtId="0" fontId="16" fillId="6" borderId="0" xfId="0" applyFont="1" applyFill="1"/>
    <xf numFmtId="0" fontId="16" fillId="6" borderId="0" xfId="0" applyFont="1" applyFill="1" applyBorder="1" applyAlignment="1">
      <alignment vertical="top" wrapText="1"/>
    </xf>
    <xf numFmtId="0" fontId="0" fillId="6" borderId="0" xfId="0" applyFill="1" applyAlignment="1">
      <alignment horizontal="left" wrapText="1"/>
    </xf>
    <xf numFmtId="0" fontId="0" fillId="6" borderId="0" xfId="0" applyFill="1" applyAlignment="1">
      <alignment wrapText="1"/>
    </xf>
    <xf numFmtId="0" fontId="21" fillId="6" borderId="0" xfId="0" applyFont="1" applyFill="1" applyAlignment="1"/>
    <xf numFmtId="170" fontId="2" fillId="2" borderId="0" xfId="1" applyNumberFormat="1" applyFont="1" applyFill="1" applyProtection="1">
      <protection locked="0"/>
    </xf>
    <xf numFmtId="0" fontId="13" fillId="2" borderId="0" xfId="0" applyFont="1" applyFill="1" applyProtection="1">
      <protection locked="0"/>
    </xf>
    <xf numFmtId="0" fontId="13" fillId="2" borderId="0" xfId="0" applyFont="1" applyFill="1" applyAlignment="1" applyProtection="1">
      <alignment horizontal="right"/>
      <protection locked="0"/>
    </xf>
    <xf numFmtId="0" fontId="13" fillId="2" borderId="0" xfId="0" applyFont="1" applyFill="1" applyBorder="1" applyProtection="1">
      <protection locked="0"/>
    </xf>
    <xf numFmtId="170" fontId="13" fillId="2" borderId="0" xfId="1" applyNumberFormat="1" applyFont="1" applyFill="1" applyProtection="1">
      <protection locked="0"/>
    </xf>
    <xf numFmtId="0" fontId="13" fillId="8" borderId="0" xfId="0" applyFont="1" applyFill="1" applyAlignment="1" applyProtection="1">
      <alignment horizontal="right"/>
      <protection locked="0"/>
    </xf>
    <xf numFmtId="0" fontId="0" fillId="8" borderId="0" xfId="0" applyFill="1" applyProtection="1">
      <protection locked="0"/>
    </xf>
    <xf numFmtId="0" fontId="0" fillId="8" borderId="0" xfId="0" applyFill="1" applyAlignment="1" applyProtection="1">
      <alignment horizontal="right"/>
      <protection locked="0"/>
    </xf>
    <xf numFmtId="1" fontId="0" fillId="8" borderId="0" xfId="0" applyNumberFormat="1" applyFill="1" applyProtection="1">
      <protection locked="0"/>
    </xf>
    <xf numFmtId="9" fontId="0" fillId="8" borderId="0" xfId="0" applyNumberFormat="1" applyFill="1" applyProtection="1">
      <protection locked="0"/>
    </xf>
    <xf numFmtId="0" fontId="2" fillId="8" borderId="0" xfId="0" applyFont="1" applyFill="1" applyProtection="1">
      <protection locked="0"/>
    </xf>
    <xf numFmtId="166" fontId="2" fillId="8" borderId="0" xfId="0" applyNumberFormat="1" applyFont="1" applyFill="1" applyProtection="1">
      <protection locked="0"/>
    </xf>
    <xf numFmtId="0" fontId="0" fillId="2" borderId="0" xfId="0" applyFill="1" applyProtection="1">
      <protection locked="0"/>
    </xf>
    <xf numFmtId="0" fontId="7" fillId="2" borderId="0" xfId="0" applyFont="1" applyFill="1" applyProtection="1">
      <protection locked="0"/>
    </xf>
    <xf numFmtId="0" fontId="2" fillId="2" borderId="12" xfId="0" applyFont="1" applyFill="1" applyBorder="1" applyProtection="1">
      <protection locked="0"/>
    </xf>
    <xf numFmtId="0" fontId="0" fillId="2" borderId="12" xfId="0" applyFill="1" applyBorder="1" applyProtection="1">
      <protection locked="0"/>
    </xf>
    <xf numFmtId="0" fontId="0" fillId="2" borderId="14" xfId="0" applyFill="1" applyBorder="1" applyProtection="1">
      <protection locked="0"/>
    </xf>
    <xf numFmtId="0" fontId="0" fillId="2" borderId="0" xfId="0" applyFill="1" applyBorder="1" applyProtection="1">
      <protection locked="0"/>
    </xf>
    <xf numFmtId="0" fontId="0" fillId="2" borderId="17" xfId="0" applyFill="1" applyBorder="1" applyProtection="1">
      <protection locked="0"/>
    </xf>
    <xf numFmtId="171" fontId="0" fillId="0" borderId="0" xfId="0" applyNumberFormat="1"/>
    <xf numFmtId="0" fontId="2" fillId="6" borderId="0" xfId="0" applyFont="1" applyFill="1"/>
    <xf numFmtId="0" fontId="2" fillId="6" borderId="0" xfId="0" applyFont="1" applyFill="1" applyAlignment="1">
      <alignment horizontal="right"/>
    </xf>
    <xf numFmtId="0" fontId="2" fillId="6" borderId="0" xfId="0" applyFont="1" applyFill="1" applyAlignment="1"/>
    <xf numFmtId="0" fontId="2" fillId="6" borderId="0" xfId="0" applyFont="1" applyFill="1" applyAlignment="1">
      <alignment vertical="top"/>
    </xf>
    <xf numFmtId="0" fontId="2" fillId="6" borderId="0" xfId="0" applyFont="1" applyFill="1" applyAlignment="1">
      <alignment wrapText="1"/>
    </xf>
    <xf numFmtId="0" fontId="26" fillId="0" borderId="19" xfId="0" applyFont="1" applyBorder="1" applyAlignment="1">
      <alignment vertical="center" wrapText="1"/>
    </xf>
    <xf numFmtId="0" fontId="11" fillId="4" borderId="0" xfId="0" applyFont="1" applyFill="1" applyAlignment="1">
      <alignment horizontal="left" wrapText="1"/>
    </xf>
    <xf numFmtId="0" fontId="0" fillId="4" borderId="0" xfId="0" applyFill="1" applyAlignment="1">
      <alignment horizontal="left" wrapText="1"/>
    </xf>
    <xf numFmtId="0" fontId="1" fillId="4" borderId="0" xfId="0" applyFont="1" applyFill="1" applyAlignment="1">
      <alignment horizontal="left" wrapText="1"/>
    </xf>
    <xf numFmtId="0" fontId="2" fillId="7" borderId="0" xfId="0" applyFont="1" applyFill="1" applyAlignment="1">
      <alignment vertical="top" wrapText="1"/>
    </xf>
    <xf numFmtId="0" fontId="0" fillId="7" borderId="0" xfId="0" applyFill="1" applyAlignment="1">
      <alignment vertical="top" wrapText="1"/>
    </xf>
    <xf numFmtId="0" fontId="0" fillId="0" borderId="0" xfId="0" applyAlignment="1">
      <alignment vertical="top" wrapText="1"/>
    </xf>
    <xf numFmtId="0" fontId="2" fillId="7" borderId="0" xfId="0" applyFont="1" applyFill="1" applyAlignment="1">
      <alignment wrapText="1"/>
    </xf>
    <xf numFmtId="0" fontId="0" fillId="7" borderId="0" xfId="0" applyFill="1" applyAlignment="1">
      <alignment wrapText="1"/>
    </xf>
    <xf numFmtId="0" fontId="1" fillId="7" borderId="0" xfId="0" applyFont="1" applyFill="1" applyAlignment="1">
      <alignment horizontal="left" vertical="top" wrapText="1"/>
    </xf>
    <xf numFmtId="0" fontId="1" fillId="0" borderId="0" xfId="0" applyFont="1" applyAlignment="1">
      <alignment horizontal="left" vertical="top" wrapText="1"/>
    </xf>
  </cellXfs>
  <cellStyles count="4">
    <cellStyle name="Komma" xfId="1" builtinId="3"/>
    <cellStyle name="Normal" xfId="0" builtinId="0"/>
    <cellStyle name="Prosent" xfId="2" builtinId="5"/>
    <cellStyle name="Tusenskille_070813 JHG Reflex_beregning"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00461687392955"/>
          <c:y val="9.0580030641525991E-2"/>
          <c:w val="0.69499058540684877"/>
          <c:h val="0.73188664758352995"/>
        </c:manualLayout>
      </c:layout>
      <c:lineChart>
        <c:grouping val="standard"/>
        <c:varyColors val="0"/>
        <c:ser>
          <c:idx val="0"/>
          <c:order val="0"/>
          <c:tx>
            <c:strRef>
              <c:f>Data!$C$1</c:f>
              <c:strCache>
                <c:ptCount val="1"/>
                <c:pt idx="0">
                  <c:v>30 %</c:v>
                </c:pt>
              </c:strCache>
            </c:strRef>
          </c:tx>
          <c:spPr>
            <a:ln w="12700">
              <a:solidFill>
                <a:srgbClr val="000080"/>
              </a:solidFill>
              <a:prstDash val="solid"/>
            </a:ln>
          </c:spPr>
          <c:marker>
            <c:symbol val="none"/>
          </c:marker>
          <c:cat>
            <c:numRef>
              <c:f>Data!$A$2:$A$20</c:f>
              <c:numCache>
                <c:formatCode>General</c:formatCode>
                <c:ptCount val="19"/>
                <c:pt idx="0">
                  <c:v>10</c:v>
                </c:pt>
                <c:pt idx="1">
                  <c:v>15</c:v>
                </c:pt>
                <c:pt idx="2">
                  <c:v>20</c:v>
                </c:pt>
                <c:pt idx="3">
                  <c:v>25</c:v>
                </c:pt>
                <c:pt idx="4">
                  <c:v>30</c:v>
                </c:pt>
                <c:pt idx="5">
                  <c:v>35</c:v>
                </c:pt>
                <c:pt idx="6">
                  <c:v>40</c:v>
                </c:pt>
                <c:pt idx="7">
                  <c:v>45</c:v>
                </c:pt>
                <c:pt idx="8">
                  <c:v>50</c:v>
                </c:pt>
                <c:pt idx="9">
                  <c:v>55</c:v>
                </c:pt>
                <c:pt idx="10">
                  <c:v>60</c:v>
                </c:pt>
                <c:pt idx="11">
                  <c:v>65</c:v>
                </c:pt>
                <c:pt idx="12">
                  <c:v>70</c:v>
                </c:pt>
                <c:pt idx="13">
                  <c:v>75</c:v>
                </c:pt>
                <c:pt idx="14">
                  <c:v>80</c:v>
                </c:pt>
                <c:pt idx="15">
                  <c:v>85</c:v>
                </c:pt>
                <c:pt idx="16">
                  <c:v>90</c:v>
                </c:pt>
                <c:pt idx="17">
                  <c:v>95</c:v>
                </c:pt>
                <c:pt idx="18">
                  <c:v>100</c:v>
                </c:pt>
              </c:numCache>
            </c:numRef>
          </c:cat>
          <c:val>
            <c:numRef>
              <c:f>Data!$C$2:$C$20</c:f>
              <c:numCache>
                <c:formatCode>0.00%</c:formatCode>
                <c:ptCount val="19"/>
                <c:pt idx="0">
                  <c:v>3.0000000000000001E-3</c:v>
                </c:pt>
                <c:pt idx="1">
                  <c:v>5.0000000000000001E-3</c:v>
                </c:pt>
                <c:pt idx="2">
                  <c:v>7.0000000000000001E-3</c:v>
                </c:pt>
                <c:pt idx="3">
                  <c:v>9.0000000000000011E-3</c:v>
                </c:pt>
                <c:pt idx="4">
                  <c:v>1.0999999999999999E-2</c:v>
                </c:pt>
                <c:pt idx="5">
                  <c:v>1.3000000000000001E-2</c:v>
                </c:pt>
                <c:pt idx="6">
                  <c:v>1.4999999999999999E-2</c:v>
                </c:pt>
                <c:pt idx="7">
                  <c:v>1.7000000000000001E-2</c:v>
                </c:pt>
                <c:pt idx="8">
                  <c:v>2.1000000000000001E-2</c:v>
                </c:pt>
                <c:pt idx="9">
                  <c:v>2.3E-2</c:v>
                </c:pt>
                <c:pt idx="10">
                  <c:v>2.7E-2</c:v>
                </c:pt>
                <c:pt idx="11">
                  <c:v>0.03</c:v>
                </c:pt>
                <c:pt idx="12">
                  <c:v>3.3000000000000002E-2</c:v>
                </c:pt>
                <c:pt idx="13">
                  <c:v>3.5000000000000003E-2</c:v>
                </c:pt>
                <c:pt idx="14">
                  <c:v>3.7999999999999999E-2</c:v>
                </c:pt>
                <c:pt idx="15">
                  <c:v>4.1000000000000002E-2</c:v>
                </c:pt>
                <c:pt idx="16">
                  <c:v>4.2999999999999997E-2</c:v>
                </c:pt>
                <c:pt idx="17">
                  <c:v>4.7E-2</c:v>
                </c:pt>
                <c:pt idx="18">
                  <c:v>0.05</c:v>
                </c:pt>
              </c:numCache>
            </c:numRef>
          </c:val>
          <c:smooth val="0"/>
          <c:extLst>
            <c:ext xmlns:c16="http://schemas.microsoft.com/office/drawing/2014/chart" uri="{C3380CC4-5D6E-409C-BE32-E72D297353CC}">
              <c16:uniqueId val="{00000000-18B7-4B22-A288-767D900E8911}"/>
            </c:ext>
          </c:extLst>
        </c:ser>
        <c:ser>
          <c:idx val="1"/>
          <c:order val="1"/>
          <c:tx>
            <c:strRef>
              <c:f>Data!$D$1</c:f>
              <c:strCache>
                <c:ptCount val="1"/>
                <c:pt idx="0">
                  <c:v>40 %</c:v>
                </c:pt>
              </c:strCache>
            </c:strRef>
          </c:tx>
          <c:spPr>
            <a:ln w="12700">
              <a:solidFill>
                <a:srgbClr val="FF00FF"/>
              </a:solidFill>
              <a:prstDash val="solid"/>
            </a:ln>
          </c:spPr>
          <c:marker>
            <c:symbol val="none"/>
          </c:marker>
          <c:cat>
            <c:numRef>
              <c:f>Data!$A$2:$A$20</c:f>
              <c:numCache>
                <c:formatCode>General</c:formatCode>
                <c:ptCount val="19"/>
                <c:pt idx="0">
                  <c:v>10</c:v>
                </c:pt>
                <c:pt idx="1">
                  <c:v>15</c:v>
                </c:pt>
                <c:pt idx="2">
                  <c:v>20</c:v>
                </c:pt>
                <c:pt idx="3">
                  <c:v>25</c:v>
                </c:pt>
                <c:pt idx="4">
                  <c:v>30</c:v>
                </c:pt>
                <c:pt idx="5">
                  <c:v>35</c:v>
                </c:pt>
                <c:pt idx="6">
                  <c:v>40</c:v>
                </c:pt>
                <c:pt idx="7">
                  <c:v>45</c:v>
                </c:pt>
                <c:pt idx="8">
                  <c:v>50</c:v>
                </c:pt>
                <c:pt idx="9">
                  <c:v>55</c:v>
                </c:pt>
                <c:pt idx="10">
                  <c:v>60</c:v>
                </c:pt>
                <c:pt idx="11">
                  <c:v>65</c:v>
                </c:pt>
                <c:pt idx="12">
                  <c:v>70</c:v>
                </c:pt>
                <c:pt idx="13">
                  <c:v>75</c:v>
                </c:pt>
                <c:pt idx="14">
                  <c:v>80</c:v>
                </c:pt>
                <c:pt idx="15">
                  <c:v>85</c:v>
                </c:pt>
                <c:pt idx="16">
                  <c:v>90</c:v>
                </c:pt>
                <c:pt idx="17">
                  <c:v>95</c:v>
                </c:pt>
                <c:pt idx="18">
                  <c:v>100</c:v>
                </c:pt>
              </c:numCache>
            </c:numRef>
          </c:cat>
          <c:val>
            <c:numRef>
              <c:f>Data!$D$2:$D$20</c:f>
              <c:numCache>
                <c:formatCode>0.00%</c:formatCode>
                <c:ptCount val="19"/>
                <c:pt idx="0">
                  <c:v>3.0000000000000001E-3</c:v>
                </c:pt>
                <c:pt idx="1">
                  <c:v>4.0000000000000001E-3</c:v>
                </c:pt>
                <c:pt idx="2">
                  <c:v>8.0000000000000002E-3</c:v>
                </c:pt>
                <c:pt idx="3">
                  <c:v>1.0999999999999999E-2</c:v>
                </c:pt>
                <c:pt idx="4">
                  <c:v>1.4E-2</c:v>
                </c:pt>
                <c:pt idx="5">
                  <c:v>1.7000000000000001E-2</c:v>
                </c:pt>
                <c:pt idx="6">
                  <c:v>0.02</c:v>
                </c:pt>
                <c:pt idx="7">
                  <c:v>2.3000000000000003E-2</c:v>
                </c:pt>
                <c:pt idx="8">
                  <c:v>2.6000000000000006E-2</c:v>
                </c:pt>
                <c:pt idx="9">
                  <c:v>2.9000000000000008E-2</c:v>
                </c:pt>
                <c:pt idx="10">
                  <c:v>3.2000000000000015E-2</c:v>
                </c:pt>
                <c:pt idx="11">
                  <c:v>3.5000000000000003E-2</c:v>
                </c:pt>
                <c:pt idx="12">
                  <c:v>3.800000000000002E-2</c:v>
                </c:pt>
                <c:pt idx="13">
                  <c:v>4.1000000000000023E-2</c:v>
                </c:pt>
                <c:pt idx="14">
                  <c:v>4.4000000000000025E-2</c:v>
                </c:pt>
                <c:pt idx="15">
                  <c:v>4.7000000000000028E-2</c:v>
                </c:pt>
                <c:pt idx="16">
                  <c:v>0.05</c:v>
                </c:pt>
                <c:pt idx="17">
                  <c:v>5.3000000000000033E-2</c:v>
                </c:pt>
                <c:pt idx="18">
                  <c:v>5.6000000000000036E-2</c:v>
                </c:pt>
              </c:numCache>
            </c:numRef>
          </c:val>
          <c:smooth val="0"/>
          <c:extLst>
            <c:ext xmlns:c16="http://schemas.microsoft.com/office/drawing/2014/chart" uri="{C3380CC4-5D6E-409C-BE32-E72D297353CC}">
              <c16:uniqueId val="{00000001-18B7-4B22-A288-767D900E8911}"/>
            </c:ext>
          </c:extLst>
        </c:ser>
        <c:ser>
          <c:idx val="2"/>
          <c:order val="2"/>
          <c:tx>
            <c:strRef>
              <c:f>Data!$E$1</c:f>
              <c:strCache>
                <c:ptCount val="1"/>
                <c:pt idx="0">
                  <c:v>50 %</c:v>
                </c:pt>
              </c:strCache>
            </c:strRef>
          </c:tx>
          <c:spPr>
            <a:ln w="12700">
              <a:solidFill>
                <a:srgbClr val="FFFF00"/>
              </a:solidFill>
              <a:prstDash val="solid"/>
            </a:ln>
          </c:spPr>
          <c:marker>
            <c:symbol val="none"/>
          </c:marker>
          <c:cat>
            <c:numRef>
              <c:f>Data!$A$2:$A$20</c:f>
              <c:numCache>
                <c:formatCode>General</c:formatCode>
                <c:ptCount val="19"/>
                <c:pt idx="0">
                  <c:v>10</c:v>
                </c:pt>
                <c:pt idx="1">
                  <c:v>15</c:v>
                </c:pt>
                <c:pt idx="2">
                  <c:v>20</c:v>
                </c:pt>
                <c:pt idx="3">
                  <c:v>25</c:v>
                </c:pt>
                <c:pt idx="4">
                  <c:v>30</c:v>
                </c:pt>
                <c:pt idx="5">
                  <c:v>35</c:v>
                </c:pt>
                <c:pt idx="6">
                  <c:v>40</c:v>
                </c:pt>
                <c:pt idx="7">
                  <c:v>45</c:v>
                </c:pt>
                <c:pt idx="8">
                  <c:v>50</c:v>
                </c:pt>
                <c:pt idx="9">
                  <c:v>55</c:v>
                </c:pt>
                <c:pt idx="10">
                  <c:v>60</c:v>
                </c:pt>
                <c:pt idx="11">
                  <c:v>65</c:v>
                </c:pt>
                <c:pt idx="12">
                  <c:v>70</c:v>
                </c:pt>
                <c:pt idx="13">
                  <c:v>75</c:v>
                </c:pt>
                <c:pt idx="14">
                  <c:v>80</c:v>
                </c:pt>
                <c:pt idx="15">
                  <c:v>85</c:v>
                </c:pt>
                <c:pt idx="16">
                  <c:v>90</c:v>
                </c:pt>
                <c:pt idx="17">
                  <c:v>95</c:v>
                </c:pt>
                <c:pt idx="18">
                  <c:v>100</c:v>
                </c:pt>
              </c:numCache>
            </c:numRef>
          </c:cat>
          <c:val>
            <c:numRef>
              <c:f>Data!$E$2:$E$20</c:f>
              <c:numCache>
                <c:formatCode>0.00%</c:formatCode>
                <c:ptCount val="19"/>
                <c:pt idx="0">
                  <c:v>4.4999999999999997E-3</c:v>
                </c:pt>
                <c:pt idx="1">
                  <c:v>7.4999999999999997E-3</c:v>
                </c:pt>
                <c:pt idx="2">
                  <c:v>9.4999999999999998E-3</c:v>
                </c:pt>
                <c:pt idx="3">
                  <c:v>1.2500000000000001E-2</c:v>
                </c:pt>
                <c:pt idx="4">
                  <c:v>1.4999999999999999E-2</c:v>
                </c:pt>
                <c:pt idx="5">
                  <c:v>1.7999999999999999E-2</c:v>
                </c:pt>
                <c:pt idx="6">
                  <c:v>2.1000000000000001E-2</c:v>
                </c:pt>
                <c:pt idx="7">
                  <c:v>2.3E-2</c:v>
                </c:pt>
                <c:pt idx="8">
                  <c:v>2.7E-2</c:v>
                </c:pt>
                <c:pt idx="9">
                  <c:v>0.03</c:v>
                </c:pt>
                <c:pt idx="10">
                  <c:v>3.4000000000000002E-2</c:v>
                </c:pt>
                <c:pt idx="11">
                  <c:v>3.6999999999999998E-2</c:v>
                </c:pt>
                <c:pt idx="12">
                  <c:v>4.1000000000000002E-2</c:v>
                </c:pt>
                <c:pt idx="13">
                  <c:v>4.2999999999999997E-2</c:v>
                </c:pt>
                <c:pt idx="14">
                  <c:v>4.7E-2</c:v>
                </c:pt>
                <c:pt idx="15">
                  <c:v>0.05</c:v>
                </c:pt>
                <c:pt idx="16">
                  <c:v>5.3999999999999999E-2</c:v>
                </c:pt>
                <c:pt idx="17">
                  <c:v>5.7000000000000002E-2</c:v>
                </c:pt>
                <c:pt idx="18">
                  <c:v>6.0999999999999999E-2</c:v>
                </c:pt>
              </c:numCache>
            </c:numRef>
          </c:val>
          <c:smooth val="0"/>
          <c:extLst>
            <c:ext xmlns:c16="http://schemas.microsoft.com/office/drawing/2014/chart" uri="{C3380CC4-5D6E-409C-BE32-E72D297353CC}">
              <c16:uniqueId val="{00000002-18B7-4B22-A288-767D900E8911}"/>
            </c:ext>
          </c:extLst>
        </c:ser>
        <c:ser>
          <c:idx val="3"/>
          <c:order val="3"/>
          <c:tx>
            <c:v>Vann</c:v>
          </c:tx>
          <c:spPr>
            <a:ln w="12700">
              <a:solidFill>
                <a:srgbClr val="00FFFF"/>
              </a:solidFill>
              <a:prstDash val="solid"/>
            </a:ln>
          </c:spPr>
          <c:marker>
            <c:symbol val="none"/>
          </c:marker>
          <c:val>
            <c:numRef>
              <c:f>Data!$B$2:$B$20</c:f>
              <c:numCache>
                <c:formatCode>0.00%</c:formatCode>
                <c:ptCount val="19"/>
                <c:pt idx="0">
                  <c:v>4.0000000000000002E-4</c:v>
                </c:pt>
                <c:pt idx="1">
                  <c:v>1E-3</c:v>
                </c:pt>
                <c:pt idx="2">
                  <c:v>1.8E-3</c:v>
                </c:pt>
                <c:pt idx="3">
                  <c:v>3.0000000000000001E-3</c:v>
                </c:pt>
                <c:pt idx="4">
                  <c:v>4.4000000000000003E-3</c:v>
                </c:pt>
                <c:pt idx="5">
                  <c:v>6.1000000000000004E-3</c:v>
                </c:pt>
                <c:pt idx="6">
                  <c:v>7.9000000000000008E-3</c:v>
                </c:pt>
                <c:pt idx="7">
                  <c:v>9.9000000000000008E-3</c:v>
                </c:pt>
                <c:pt idx="8">
                  <c:v>1.21E-2</c:v>
                </c:pt>
                <c:pt idx="9">
                  <c:v>1.46E-2</c:v>
                </c:pt>
                <c:pt idx="10">
                  <c:v>1.7100000000000001E-2</c:v>
                </c:pt>
                <c:pt idx="11">
                  <c:v>1.9900000000000001E-2</c:v>
                </c:pt>
                <c:pt idx="12">
                  <c:v>2.2800000000000001E-2</c:v>
                </c:pt>
                <c:pt idx="13">
                  <c:v>2.58E-2</c:v>
                </c:pt>
                <c:pt idx="14">
                  <c:v>2.9000000000000001E-2</c:v>
                </c:pt>
                <c:pt idx="15">
                  <c:v>3.2300000000000002E-2</c:v>
                </c:pt>
                <c:pt idx="16">
                  <c:v>3.5900000000000001E-2</c:v>
                </c:pt>
                <c:pt idx="17">
                  <c:v>3.95E-2</c:v>
                </c:pt>
                <c:pt idx="18">
                  <c:v>4.3499999999999997E-2</c:v>
                </c:pt>
              </c:numCache>
            </c:numRef>
          </c:val>
          <c:smooth val="0"/>
          <c:extLst>
            <c:ext xmlns:c16="http://schemas.microsoft.com/office/drawing/2014/chart" uri="{C3380CC4-5D6E-409C-BE32-E72D297353CC}">
              <c16:uniqueId val="{00000003-18B7-4B22-A288-767D900E8911}"/>
            </c:ext>
          </c:extLst>
        </c:ser>
        <c:dLbls>
          <c:showLegendKey val="0"/>
          <c:showVal val="0"/>
          <c:showCatName val="0"/>
          <c:showSerName val="0"/>
          <c:showPercent val="0"/>
          <c:showBubbleSize val="0"/>
        </c:dLbls>
        <c:smooth val="0"/>
        <c:axId val="375227248"/>
        <c:axId val="1"/>
      </c:lineChart>
      <c:catAx>
        <c:axId val="3752272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1"/>
        <c:crosses val="autoZero"/>
        <c:auto val="0"/>
        <c:lblAlgn val="ctr"/>
        <c:lblOffset val="100"/>
        <c:tickLblSkip val="2"/>
        <c:tickMarkSkip val="1"/>
        <c:noMultiLvlLbl val="0"/>
      </c:catAx>
      <c:valAx>
        <c:axId val="1"/>
        <c:scaling>
          <c:orientation val="minMax"/>
        </c:scaling>
        <c:delete val="0"/>
        <c:axPos val="l"/>
        <c:numFmt formatCode="0.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375227248"/>
        <c:crosses val="autoZero"/>
        <c:crossBetween val="between"/>
      </c:valAx>
      <c:spPr>
        <a:solidFill>
          <a:srgbClr val="C0C0C0"/>
        </a:solidFill>
        <a:ln w="12700">
          <a:solidFill>
            <a:srgbClr val="808080"/>
          </a:solidFill>
          <a:prstDash val="solid"/>
        </a:ln>
      </c:spPr>
    </c:plotArea>
    <c:legend>
      <c:legendPos val="r"/>
      <c:layout>
        <c:manualLayout>
          <c:xMode val="edge"/>
          <c:yMode val="edge"/>
          <c:x val="0.84531590413943358"/>
          <c:y val="0.3188405797101449"/>
          <c:w val="0.13943355119825707"/>
          <c:h val="0.27898550724637683"/>
        </c:manualLayout>
      </c:layout>
      <c:overlay val="0"/>
      <c:spPr>
        <a:solidFill>
          <a:srgbClr val="FFFFFF"/>
        </a:solidFill>
        <a:ln w="3175">
          <a:solidFill>
            <a:srgbClr val="000000"/>
          </a:solidFill>
          <a:prstDash val="solid"/>
        </a:ln>
      </c:spPr>
      <c:txPr>
        <a:bodyPr/>
        <a:lstStyle/>
        <a:p>
          <a:pPr>
            <a:defRPr sz="23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oddHeader>&amp;A</c:oddHeader>
      <c:oddFooter>Side &amp;P</c:oddFooter>
    </c:headerFooter>
    <c:pageMargins b="0.984251969" l="0.78740157499999996" r="0.78740157499999996" t="0.984251969"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sgp.no/" TargetMode="External"/><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5.jpeg"/><Relationship Id="rId5" Type="http://schemas.openxmlformats.org/officeDocument/2006/relationships/image" Target="../media/image4.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mailto:post@sgp.no" TargetMode="External"/><Relationship Id="rId2" Type="http://schemas.openxmlformats.org/officeDocument/2006/relationships/image" Target="../media/image3.png"/><Relationship Id="rId1" Type="http://schemas.openxmlformats.org/officeDocument/2006/relationships/hyperlink" Target="http://www.sgp.no/"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www.sgp.no/"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www.sgp.no/"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www.sgp.no/"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www.sgp.no/" TargetMode="External"/></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457200</xdr:colOff>
      <xdr:row>22</xdr:row>
      <xdr:rowOff>66675</xdr:rowOff>
    </xdr:from>
    <xdr:to>
      <xdr:col>5</xdr:col>
      <xdr:colOff>381000</xdr:colOff>
      <xdr:row>26</xdr:row>
      <xdr:rowOff>19050</xdr:rowOff>
    </xdr:to>
    <xdr:pic>
      <xdr:nvPicPr>
        <xdr:cNvPr id="145982" name="Picture 4" descr="J:\Logoer og maler\Alfa Laval\Alfa_laval_logo_org.gif">
          <a:extLst>
            <a:ext uri="{FF2B5EF4-FFF2-40B4-BE49-F238E27FC236}">
              <a16:creationId xmlns:a16="http://schemas.microsoft.com/office/drawing/2014/main" id="{00000000-0008-0000-0000-00003E3A02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 y="5962650"/>
          <a:ext cx="22098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352425</xdr:colOff>
      <xdr:row>21</xdr:row>
      <xdr:rowOff>38100</xdr:rowOff>
    </xdr:from>
    <xdr:to>
      <xdr:col>5</xdr:col>
      <xdr:colOff>590550</xdr:colOff>
      <xdr:row>21</xdr:row>
      <xdr:rowOff>504825</xdr:rowOff>
    </xdr:to>
    <xdr:pic>
      <xdr:nvPicPr>
        <xdr:cNvPr id="145984" name="Picture 7" descr="J:\Logoer og maler\De Dieterich\DeDietrich.jpg">
          <a:extLst>
            <a:ext uri="{FF2B5EF4-FFF2-40B4-BE49-F238E27FC236}">
              <a16:creationId xmlns:a16="http://schemas.microsoft.com/office/drawing/2014/main" id="{00000000-0008-0000-0000-0000403A02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77125" y="5286375"/>
          <a:ext cx="2524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xdr:colOff>
      <xdr:row>0</xdr:row>
      <xdr:rowOff>0</xdr:rowOff>
    </xdr:from>
    <xdr:to>
      <xdr:col>6</xdr:col>
      <xdr:colOff>180975</xdr:colOff>
      <xdr:row>5</xdr:row>
      <xdr:rowOff>28575</xdr:rowOff>
    </xdr:to>
    <xdr:pic>
      <xdr:nvPicPr>
        <xdr:cNvPr id="145987" name="Bilde 9">
          <a:hlinkClick xmlns:r="http://schemas.openxmlformats.org/officeDocument/2006/relationships" r:id="rId3"/>
          <a:extLst>
            <a:ext uri="{FF2B5EF4-FFF2-40B4-BE49-F238E27FC236}">
              <a16:creationId xmlns:a16="http://schemas.microsoft.com/office/drawing/2014/main" id="{00000000-0008-0000-0000-0000433A02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53275" y="0"/>
          <a:ext cx="3381375"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18</xdr:row>
      <xdr:rowOff>26689</xdr:rowOff>
    </xdr:from>
    <xdr:to>
      <xdr:col>5</xdr:col>
      <xdr:colOff>19050</xdr:colOff>
      <xdr:row>18</xdr:row>
      <xdr:rowOff>800100</xdr:rowOff>
    </xdr:to>
    <xdr:pic>
      <xdr:nvPicPr>
        <xdr:cNvPr id="2" name="Bild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105775" y="4141489"/>
          <a:ext cx="1323975" cy="773411"/>
        </a:xfrm>
        <a:prstGeom prst="rect">
          <a:avLst/>
        </a:prstGeom>
      </xdr:spPr>
    </xdr:pic>
    <xdr:clientData/>
  </xdr:twoCellAnchor>
  <xdr:twoCellAnchor editAs="oneCell">
    <xdr:from>
      <xdr:col>2</xdr:col>
      <xdr:colOff>628651</xdr:colOff>
      <xdr:row>10</xdr:row>
      <xdr:rowOff>47625</xdr:rowOff>
    </xdr:from>
    <xdr:to>
      <xdr:col>5</xdr:col>
      <xdr:colOff>162813</xdr:colOff>
      <xdr:row>15</xdr:row>
      <xdr:rowOff>137921</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753351" y="2705100"/>
          <a:ext cx="1820162" cy="10618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2038350</xdr:colOff>
      <xdr:row>1</xdr:row>
      <xdr:rowOff>152400</xdr:rowOff>
    </xdr:from>
    <xdr:to>
      <xdr:col>6</xdr:col>
      <xdr:colOff>161925</xdr:colOff>
      <xdr:row>9</xdr:row>
      <xdr:rowOff>47625</xdr:rowOff>
    </xdr:to>
    <xdr:pic>
      <xdr:nvPicPr>
        <xdr:cNvPr id="5521" name="Bilde 1">
          <a:hlinkClick xmlns:r="http://schemas.openxmlformats.org/officeDocument/2006/relationships" r:id="rId1"/>
          <a:extLst>
            <a:ext uri="{FF2B5EF4-FFF2-40B4-BE49-F238E27FC236}">
              <a16:creationId xmlns:a16="http://schemas.microsoft.com/office/drawing/2014/main" id="{00000000-0008-0000-0100-0000911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10375" y="314325"/>
          <a:ext cx="239077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2431676</xdr:colOff>
      <xdr:row>12</xdr:row>
      <xdr:rowOff>33617</xdr:rowOff>
    </xdr:from>
    <xdr:to>
      <xdr:col>5</xdr:col>
      <xdr:colOff>4011704</xdr:colOff>
      <xdr:row>14</xdr:row>
      <xdr:rowOff>56029</xdr:rowOff>
    </xdr:to>
    <xdr:sp macro="" textlink="">
      <xdr:nvSpPr>
        <xdr:cNvPr id="4" name="Avrundet rektangel 3">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bwMode="auto">
        <a:xfrm>
          <a:off x="7205382" y="1669676"/>
          <a:ext cx="1580028" cy="336177"/>
        </a:xfrm>
        <a:prstGeom prst="round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nb-NO" sz="1100"/>
            <a:t>Send forespørsel</a:t>
          </a:r>
          <a:r>
            <a:rPr lang="nb-NO" sz="1100" baseline="0"/>
            <a:t> til SGP</a:t>
          </a:r>
          <a:endParaRPr lang="nb-NO"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1695450</xdr:colOff>
      <xdr:row>2</xdr:row>
      <xdr:rowOff>38100</xdr:rowOff>
    </xdr:from>
    <xdr:to>
      <xdr:col>5</xdr:col>
      <xdr:colOff>4076700</xdr:colOff>
      <xdr:row>9</xdr:row>
      <xdr:rowOff>114300</xdr:rowOff>
    </xdr:to>
    <xdr:pic>
      <xdr:nvPicPr>
        <xdr:cNvPr id="2" name="Bilde 2">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67475" y="428625"/>
          <a:ext cx="238125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1695450</xdr:colOff>
      <xdr:row>2</xdr:row>
      <xdr:rowOff>38100</xdr:rowOff>
    </xdr:from>
    <xdr:to>
      <xdr:col>5</xdr:col>
      <xdr:colOff>4076700</xdr:colOff>
      <xdr:row>9</xdr:row>
      <xdr:rowOff>114300</xdr:rowOff>
    </xdr:to>
    <xdr:pic>
      <xdr:nvPicPr>
        <xdr:cNvPr id="19666" name="Bilde 2">
          <a:hlinkClick xmlns:r="http://schemas.openxmlformats.org/officeDocument/2006/relationships" r:id="rId1"/>
          <a:extLst>
            <a:ext uri="{FF2B5EF4-FFF2-40B4-BE49-F238E27FC236}">
              <a16:creationId xmlns:a16="http://schemas.microsoft.com/office/drawing/2014/main" id="{00000000-0008-0000-0300-0000D24C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67475" y="428625"/>
          <a:ext cx="238125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705144</xdr:colOff>
      <xdr:row>1</xdr:row>
      <xdr:rowOff>85725</xdr:rowOff>
    </xdr:from>
    <xdr:to>
      <xdr:col>4</xdr:col>
      <xdr:colOff>1221440</xdr:colOff>
      <xdr:row>1</xdr:row>
      <xdr:rowOff>857250</xdr:rowOff>
    </xdr:to>
    <xdr:pic>
      <xdr:nvPicPr>
        <xdr:cNvPr id="2" name="Bilde 1">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5119" y="247650"/>
          <a:ext cx="1516421"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3533775</xdr:colOff>
      <xdr:row>1</xdr:row>
      <xdr:rowOff>47625</xdr:rowOff>
    </xdr:from>
    <xdr:to>
      <xdr:col>7</xdr:col>
      <xdr:colOff>400050</xdr:colOff>
      <xdr:row>8</xdr:row>
      <xdr:rowOff>57150</xdr:rowOff>
    </xdr:to>
    <xdr:pic>
      <xdr:nvPicPr>
        <xdr:cNvPr id="68765" name="Bilde 2">
          <a:hlinkClick xmlns:r="http://schemas.openxmlformats.org/officeDocument/2006/relationships" r:id="rId1"/>
          <a:extLst>
            <a:ext uri="{FF2B5EF4-FFF2-40B4-BE49-F238E27FC236}">
              <a16:creationId xmlns:a16="http://schemas.microsoft.com/office/drawing/2014/main" id="{00000000-0008-0000-0500-00009D0C0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05800" y="209550"/>
          <a:ext cx="238125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190500</xdr:colOff>
      <xdr:row>3</xdr:row>
      <xdr:rowOff>76200</xdr:rowOff>
    </xdr:from>
    <xdr:to>
      <xdr:col>15</xdr:col>
      <xdr:colOff>295275</xdr:colOff>
      <xdr:row>19</xdr:row>
      <xdr:rowOff>114300</xdr:rowOff>
    </xdr:to>
    <xdr:graphicFrame macro="">
      <xdr:nvGraphicFramePr>
        <xdr:cNvPr id="1237" name="Chart 1">
          <a:extLst>
            <a:ext uri="{FF2B5EF4-FFF2-40B4-BE49-F238E27FC236}">
              <a16:creationId xmlns:a16="http://schemas.microsoft.com/office/drawing/2014/main" id="{00000000-0008-0000-0A00-0000D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3"/>
  <dimension ref="A1:J42"/>
  <sheetViews>
    <sheetView workbookViewId="0">
      <selection activeCell="A19" sqref="A19"/>
    </sheetView>
  </sheetViews>
  <sheetFormatPr baseColWidth="10" defaultColWidth="11.44140625" defaultRowHeight="13.2"/>
  <cols>
    <col min="1" max="1" width="104.5546875" style="59" customWidth="1"/>
    <col min="2" max="2" width="2.33203125" style="59" customWidth="1"/>
    <col min="3" max="5" width="11.44140625" style="59"/>
    <col min="6" max="6" width="14.109375" style="59" customWidth="1"/>
    <col min="7" max="16384" width="11.44140625" style="59"/>
  </cols>
  <sheetData>
    <row r="1" spans="1:6" ht="17.399999999999999">
      <c r="A1" s="63" t="s">
        <v>188</v>
      </c>
    </row>
    <row r="3" spans="1:6" ht="79.2">
      <c r="A3" s="95" t="s">
        <v>187</v>
      </c>
      <c r="B3" s="61"/>
    </row>
    <row r="4" spans="1:6">
      <c r="A4" s="83"/>
    </row>
    <row r="5" spans="1:6">
      <c r="A5" s="95" t="s">
        <v>178</v>
      </c>
      <c r="B5" s="61"/>
    </row>
    <row r="7" spans="1:6">
      <c r="A7" s="96" t="s">
        <v>185</v>
      </c>
      <c r="B7" s="97"/>
    </row>
    <row r="8" spans="1:6" ht="26.4">
      <c r="A8" s="95" t="s">
        <v>186</v>
      </c>
      <c r="B8" s="61"/>
    </row>
    <row r="9" spans="1:6">
      <c r="B9" s="61"/>
      <c r="C9" s="83"/>
      <c r="D9" s="83"/>
      <c r="E9" s="83"/>
      <c r="F9" s="83"/>
    </row>
    <row r="10" spans="1:6">
      <c r="A10" s="96" t="s">
        <v>179</v>
      </c>
      <c r="B10" s="61"/>
      <c r="C10" s="83"/>
      <c r="D10" s="83"/>
      <c r="E10" s="83"/>
      <c r="F10" s="83"/>
    </row>
    <row r="11" spans="1:6" ht="26.4">
      <c r="A11" s="95" t="s">
        <v>180</v>
      </c>
      <c r="B11" s="61"/>
      <c r="C11" s="83"/>
      <c r="D11" s="83"/>
      <c r="E11" s="83"/>
      <c r="F11" s="83"/>
    </row>
    <row r="12" spans="1:6">
      <c r="A12" s="95"/>
      <c r="B12" s="61"/>
      <c r="C12" s="83"/>
      <c r="D12" s="83"/>
      <c r="E12" s="83"/>
      <c r="F12" s="83"/>
    </row>
    <row r="13" spans="1:6">
      <c r="A13" s="213" t="s">
        <v>462</v>
      </c>
      <c r="B13" s="61"/>
      <c r="C13" s="83"/>
      <c r="D13" s="83"/>
      <c r="E13" s="83"/>
      <c r="F13" s="83"/>
    </row>
    <row r="14" spans="1:6">
      <c r="A14" s="213" t="s">
        <v>463</v>
      </c>
      <c r="B14" s="61"/>
      <c r="C14" s="83"/>
      <c r="D14" s="83"/>
      <c r="E14" s="83"/>
      <c r="F14" s="83"/>
    </row>
    <row r="15" spans="1:6">
      <c r="A15" s="213" t="s">
        <v>464</v>
      </c>
      <c r="B15" s="61"/>
      <c r="C15" s="83"/>
      <c r="D15" s="83"/>
      <c r="E15" s="83"/>
      <c r="F15" s="83"/>
    </row>
    <row r="16" spans="1:6">
      <c r="A16" s="213" t="s">
        <v>465</v>
      </c>
      <c r="B16" s="61"/>
      <c r="C16" s="83"/>
      <c r="D16" s="83"/>
      <c r="E16" s="83"/>
      <c r="F16" s="83"/>
    </row>
    <row r="17" spans="1:10">
      <c r="A17" s="95" t="s">
        <v>183</v>
      </c>
      <c r="B17" s="61"/>
      <c r="C17" s="83"/>
      <c r="D17" s="83"/>
      <c r="E17" s="83"/>
      <c r="F17" s="83"/>
    </row>
    <row r="18" spans="1:10">
      <c r="A18" s="95"/>
      <c r="B18" s="99"/>
      <c r="C18" s="98"/>
      <c r="D18" s="98"/>
      <c r="E18" s="98"/>
      <c r="F18" s="98"/>
      <c r="G18" s="99"/>
      <c r="H18" s="99"/>
      <c r="I18" s="99"/>
      <c r="J18" s="99"/>
    </row>
    <row r="19" spans="1:10" ht="66">
      <c r="A19" s="95" t="s">
        <v>189</v>
      </c>
      <c r="C19" s="83"/>
      <c r="D19" s="83"/>
      <c r="E19" s="83"/>
      <c r="F19" s="83"/>
    </row>
    <row r="20" spans="1:10">
      <c r="A20" s="95"/>
      <c r="C20" s="83"/>
      <c r="D20" s="83"/>
      <c r="E20" s="83"/>
      <c r="F20" s="83"/>
    </row>
    <row r="21" spans="1:10">
      <c r="C21" s="83"/>
      <c r="D21" s="83"/>
      <c r="E21" s="83"/>
      <c r="F21" s="83"/>
    </row>
    <row r="22" spans="1:10" ht="52.8">
      <c r="A22" s="98" t="s">
        <v>184</v>
      </c>
      <c r="C22" s="83"/>
      <c r="D22" s="83"/>
      <c r="E22" s="83"/>
      <c r="F22" s="83"/>
    </row>
    <row r="23" spans="1:10">
      <c r="C23" s="83"/>
      <c r="D23" s="83"/>
      <c r="E23" s="83"/>
      <c r="F23" s="83"/>
    </row>
    <row r="24" spans="1:10">
      <c r="C24" s="83"/>
      <c r="D24" s="83"/>
      <c r="E24" s="83"/>
      <c r="F24" s="83"/>
    </row>
    <row r="25" spans="1:10">
      <c r="C25" s="83"/>
      <c r="D25" s="83"/>
      <c r="E25" s="83"/>
      <c r="F25" s="83"/>
    </row>
    <row r="26" spans="1:10">
      <c r="C26" s="83"/>
      <c r="D26" s="83"/>
      <c r="E26" s="83"/>
      <c r="F26" s="83"/>
    </row>
    <row r="27" spans="1:10">
      <c r="C27" s="83"/>
      <c r="D27" s="83"/>
      <c r="E27" s="83"/>
      <c r="F27" s="83"/>
    </row>
    <row r="28" spans="1:10">
      <c r="C28" s="83"/>
      <c r="D28" s="83"/>
      <c r="E28" s="83"/>
      <c r="F28" s="83"/>
    </row>
    <row r="30" spans="1:10" ht="29.25" customHeight="1">
      <c r="C30" s="256" t="s">
        <v>181</v>
      </c>
      <c r="D30" s="257"/>
      <c r="E30" s="257"/>
      <c r="F30" s="257"/>
    </row>
    <row r="32" spans="1:10" ht="27" customHeight="1">
      <c r="C32" s="258" t="s">
        <v>466</v>
      </c>
      <c r="D32" s="257"/>
      <c r="E32" s="257"/>
      <c r="F32" s="257"/>
    </row>
    <row r="33" spans="3:6">
      <c r="C33" s="60"/>
      <c r="D33" s="60"/>
      <c r="E33" s="60"/>
      <c r="F33" s="60"/>
    </row>
    <row r="34" spans="3:6" ht="28.5" customHeight="1">
      <c r="C34" s="256" t="s">
        <v>182</v>
      </c>
      <c r="D34" s="257"/>
      <c r="E34" s="257"/>
      <c r="F34" s="257"/>
    </row>
    <row r="35" spans="3:6">
      <c r="C35" s="60"/>
      <c r="D35" s="60"/>
      <c r="E35" s="60"/>
      <c r="F35" s="60"/>
    </row>
    <row r="36" spans="3:6" ht="30" customHeight="1">
      <c r="C36" s="258" t="s">
        <v>467</v>
      </c>
      <c r="D36" s="257"/>
      <c r="E36" s="257"/>
      <c r="F36" s="257"/>
    </row>
    <row r="37" spans="3:6">
      <c r="C37" s="60"/>
      <c r="D37" s="60"/>
      <c r="E37" s="60"/>
      <c r="F37" s="60"/>
    </row>
    <row r="38" spans="3:6" ht="25.5" customHeight="1"/>
    <row r="39" spans="3:6">
      <c r="C39" s="60"/>
      <c r="D39" s="60"/>
      <c r="E39" s="60"/>
      <c r="F39" s="60"/>
    </row>
    <row r="40" spans="3:6" ht="27.75" customHeight="1">
      <c r="C40" s="256"/>
      <c r="D40" s="257"/>
      <c r="E40" s="257"/>
      <c r="F40" s="257"/>
    </row>
    <row r="41" spans="3:6">
      <c r="C41" s="60"/>
      <c r="D41" s="60"/>
      <c r="E41" s="60"/>
      <c r="F41" s="60"/>
    </row>
    <row r="42" spans="3:6" ht="24" customHeight="1">
      <c r="C42" s="256"/>
      <c r="D42" s="257"/>
      <c r="E42" s="257"/>
      <c r="F42" s="257"/>
    </row>
  </sheetData>
  <mergeCells count="6">
    <mergeCell ref="C30:F30"/>
    <mergeCell ref="C34:F34"/>
    <mergeCell ref="C40:F40"/>
    <mergeCell ref="C42:F42"/>
    <mergeCell ref="C32:F32"/>
    <mergeCell ref="C36:F36"/>
  </mergeCells>
  <phoneticPr fontId="0" type="noConversion"/>
  <pageMargins left="0.78740157499999996" right="0.78740157499999996" top="0.984251969" bottom="0.984251969" header="0.5" footer="0.5"/>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7"/>
  <dimension ref="A1:L48"/>
  <sheetViews>
    <sheetView workbookViewId="0">
      <selection activeCell="D49" sqref="D49"/>
    </sheetView>
  </sheetViews>
  <sheetFormatPr baseColWidth="10" defaultRowHeight="13.2"/>
  <cols>
    <col min="3" max="3" width="14.6640625" bestFit="1" customWidth="1"/>
    <col min="4" max="6" width="15.6640625" bestFit="1" customWidth="1"/>
    <col min="7" max="12" width="17.33203125" bestFit="1" customWidth="1"/>
  </cols>
  <sheetData>
    <row r="1" spans="1:12">
      <c r="A1" s="26" t="s">
        <v>65</v>
      </c>
    </row>
    <row r="2" spans="1:12">
      <c r="A2" t="s">
        <v>66</v>
      </c>
      <c r="B2" s="28">
        <v>100</v>
      </c>
    </row>
    <row r="3" spans="1:12">
      <c r="A3" t="s">
        <v>67</v>
      </c>
      <c r="B3" s="28">
        <v>-12.5</v>
      </c>
      <c r="C3" s="35"/>
    </row>
    <row r="4" spans="1:12">
      <c r="A4" t="s">
        <v>68</v>
      </c>
      <c r="B4" s="28">
        <v>0.7</v>
      </c>
      <c r="C4" s="35"/>
    </row>
    <row r="5" spans="1:12">
      <c r="A5" t="s">
        <v>69</v>
      </c>
      <c r="B5">
        <v>0</v>
      </c>
      <c r="C5" s="35">
        <v>1</v>
      </c>
      <c r="D5">
        <v>2</v>
      </c>
      <c r="E5">
        <v>3</v>
      </c>
      <c r="F5">
        <v>4</v>
      </c>
      <c r="G5">
        <v>5</v>
      </c>
      <c r="H5">
        <v>6</v>
      </c>
      <c r="I5">
        <v>7</v>
      </c>
    </row>
    <row r="6" spans="1:12">
      <c r="A6" t="s">
        <v>70</v>
      </c>
      <c r="B6">
        <v>100</v>
      </c>
      <c r="C6" s="35">
        <v>90</v>
      </c>
      <c r="D6">
        <v>78</v>
      </c>
      <c r="E6">
        <v>68</v>
      </c>
      <c r="F6">
        <v>60</v>
      </c>
      <c r="G6">
        <v>55</v>
      </c>
      <c r="H6">
        <v>50</v>
      </c>
      <c r="I6">
        <v>46</v>
      </c>
    </row>
    <row r="7" spans="1:12">
      <c r="B7" s="33">
        <f t="shared" ref="B7:I7" si="0">$B$2+$B$3*B5+$B$4*B5^2</f>
        <v>100</v>
      </c>
      <c r="C7" s="36">
        <f t="shared" si="0"/>
        <v>88.2</v>
      </c>
      <c r="D7" s="33">
        <f t="shared" si="0"/>
        <v>77.8</v>
      </c>
      <c r="E7" s="33">
        <f t="shared" si="0"/>
        <v>68.8</v>
      </c>
      <c r="F7" s="33">
        <f t="shared" si="0"/>
        <v>61.2</v>
      </c>
      <c r="G7" s="33">
        <f t="shared" si="0"/>
        <v>55</v>
      </c>
      <c r="H7" s="33">
        <f t="shared" si="0"/>
        <v>50.2</v>
      </c>
      <c r="I7" s="33">
        <f t="shared" si="0"/>
        <v>46.8</v>
      </c>
    </row>
    <row r="8" spans="1:12">
      <c r="A8" s="37">
        <f>SUM(B8:I8)</f>
        <v>5</v>
      </c>
      <c r="B8" s="33">
        <f t="shared" ref="B8:I8" si="1">ABS(B6-B7)</f>
        <v>0</v>
      </c>
      <c r="C8" s="36">
        <f t="shared" si="1"/>
        <v>1.7999999999999972</v>
      </c>
      <c r="D8" s="33">
        <f t="shared" si="1"/>
        <v>0.20000000000000284</v>
      </c>
      <c r="E8" s="33">
        <f t="shared" si="1"/>
        <v>0.79999999999999716</v>
      </c>
      <c r="F8" s="33">
        <f t="shared" si="1"/>
        <v>1.2000000000000028</v>
      </c>
      <c r="G8" s="33">
        <f t="shared" si="1"/>
        <v>0</v>
      </c>
      <c r="H8" s="33">
        <f t="shared" si="1"/>
        <v>0.20000000000000284</v>
      </c>
      <c r="I8" s="33">
        <f t="shared" si="1"/>
        <v>0.79999999999999716</v>
      </c>
    </row>
    <row r="9" spans="1:12">
      <c r="C9" s="35"/>
    </row>
    <row r="10" spans="1:12">
      <c r="C10" s="35"/>
    </row>
    <row r="11" spans="1:12">
      <c r="A11" s="26" t="s">
        <v>71</v>
      </c>
      <c r="C11" s="35"/>
    </row>
    <row r="12" spans="1:12">
      <c r="A12" t="s">
        <v>66</v>
      </c>
      <c r="B12" s="28">
        <v>131.15608574495789</v>
      </c>
      <c r="C12" s="35"/>
    </row>
    <row r="13" spans="1:12">
      <c r="A13" t="s">
        <v>67</v>
      </c>
      <c r="B13" s="28">
        <v>-11.725911773485008</v>
      </c>
      <c r="C13" s="35"/>
    </row>
    <row r="14" spans="1:12">
      <c r="A14" t="s">
        <v>68</v>
      </c>
      <c r="B14" s="28">
        <v>0.5610303203359418</v>
      </c>
      <c r="C14" s="35"/>
    </row>
    <row r="15" spans="1:12">
      <c r="A15" t="s">
        <v>69</v>
      </c>
      <c r="B15">
        <v>0</v>
      </c>
      <c r="C15" s="35">
        <v>1</v>
      </c>
      <c r="D15">
        <v>2</v>
      </c>
      <c r="E15">
        <v>3</v>
      </c>
      <c r="F15">
        <v>4</v>
      </c>
      <c r="G15">
        <v>5</v>
      </c>
      <c r="H15">
        <v>6</v>
      </c>
      <c r="I15">
        <v>7</v>
      </c>
      <c r="J15">
        <v>8</v>
      </c>
      <c r="K15">
        <v>9</v>
      </c>
      <c r="L15">
        <v>10</v>
      </c>
    </row>
    <row r="16" spans="1:12">
      <c r="A16" t="s">
        <v>70</v>
      </c>
      <c r="B16" s="35">
        <v>134</v>
      </c>
      <c r="C16" s="35">
        <v>120</v>
      </c>
      <c r="D16">
        <v>108</v>
      </c>
      <c r="E16">
        <v>99</v>
      </c>
      <c r="F16">
        <v>91</v>
      </c>
      <c r="G16">
        <v>88</v>
      </c>
      <c r="H16">
        <v>81</v>
      </c>
      <c r="I16">
        <v>78</v>
      </c>
      <c r="J16">
        <v>74</v>
      </c>
      <c r="K16">
        <v>71</v>
      </c>
      <c r="L16">
        <v>70</v>
      </c>
    </row>
    <row r="17" spans="1:12">
      <c r="B17" s="33">
        <f t="shared" ref="B17:L17" si="2">$B$12+$B$13*B15+$B$14*B15^2</f>
        <v>131.15608574495789</v>
      </c>
      <c r="C17" s="38">
        <f t="shared" si="2"/>
        <v>119.99120429180883</v>
      </c>
      <c r="D17" s="38">
        <f t="shared" si="2"/>
        <v>109.94838347933164</v>
      </c>
      <c r="E17" s="38">
        <f t="shared" si="2"/>
        <v>101.02762330752635</v>
      </c>
      <c r="F17" s="38">
        <f t="shared" si="2"/>
        <v>93.228923776392918</v>
      </c>
      <c r="G17" s="38">
        <f t="shared" si="2"/>
        <v>86.5522848859314</v>
      </c>
      <c r="H17" s="38">
        <f t="shared" si="2"/>
        <v>80.997706636141757</v>
      </c>
      <c r="I17" s="38">
        <f t="shared" si="2"/>
        <v>76.56518902702399</v>
      </c>
      <c r="J17" s="38">
        <f t="shared" si="2"/>
        <v>73.254732058578099</v>
      </c>
      <c r="K17" s="38">
        <f t="shared" si="2"/>
        <v>71.066335730804099</v>
      </c>
      <c r="L17" s="38">
        <f t="shared" si="2"/>
        <v>70.000000043701988</v>
      </c>
    </row>
    <row r="18" spans="1:12">
      <c r="A18" s="39">
        <f>SUM(B18:L18)</f>
        <v>12.754063693315032</v>
      </c>
      <c r="B18" s="33">
        <f t="shared" ref="B18:L18" si="3">ABS(B16-B17)</f>
        <v>2.8439142550421082</v>
      </c>
      <c r="C18" s="38">
        <f t="shared" si="3"/>
        <v>8.7957081911724799E-3</v>
      </c>
      <c r="D18" s="38">
        <f t="shared" si="3"/>
        <v>1.948383479331639</v>
      </c>
      <c r="E18" s="38">
        <f t="shared" si="3"/>
        <v>2.0276233075263548</v>
      </c>
      <c r="F18" s="38">
        <f t="shared" si="3"/>
        <v>2.2289237763929179</v>
      </c>
      <c r="G18" s="38">
        <f t="shared" si="3"/>
        <v>1.4477151140686004</v>
      </c>
      <c r="H18" s="38">
        <f t="shared" si="3"/>
        <v>2.2933638582429694E-3</v>
      </c>
      <c r="I18" s="38">
        <f t="shared" si="3"/>
        <v>1.4348109729760097</v>
      </c>
      <c r="J18" s="38">
        <f t="shared" si="3"/>
        <v>0.74526794142190056</v>
      </c>
      <c r="K18" s="38">
        <f t="shared" si="3"/>
        <v>6.6335730804098603E-2</v>
      </c>
      <c r="L18" s="38">
        <f t="shared" si="3"/>
        <v>4.3701987806343823E-8</v>
      </c>
    </row>
    <row r="21" spans="1:12">
      <c r="A21" s="26" t="s">
        <v>72</v>
      </c>
    </row>
    <row r="22" spans="1:12">
      <c r="A22" t="s">
        <v>66</v>
      </c>
      <c r="B22" s="28">
        <v>254.23925108669027</v>
      </c>
      <c r="C22" s="35"/>
    </row>
    <row r="23" spans="1:12">
      <c r="A23" t="s">
        <v>67</v>
      </c>
      <c r="B23" s="28">
        <v>-19.499654045997996</v>
      </c>
      <c r="C23" s="35"/>
    </row>
    <row r="24" spans="1:12">
      <c r="A24" t="s">
        <v>68</v>
      </c>
      <c r="B24" s="28">
        <v>0.73155715811055277</v>
      </c>
      <c r="C24" s="35"/>
    </row>
    <row r="25" spans="1:12">
      <c r="A25" t="s">
        <v>69</v>
      </c>
      <c r="B25">
        <v>0</v>
      </c>
      <c r="C25" s="35">
        <v>1</v>
      </c>
      <c r="D25">
        <v>2</v>
      </c>
      <c r="E25">
        <v>3</v>
      </c>
      <c r="F25">
        <v>4</v>
      </c>
      <c r="G25">
        <v>5</v>
      </c>
      <c r="H25">
        <v>6</v>
      </c>
      <c r="I25">
        <v>7</v>
      </c>
      <c r="J25">
        <v>8</v>
      </c>
      <c r="K25">
        <v>9</v>
      </c>
      <c r="L25">
        <v>10</v>
      </c>
    </row>
    <row r="26" spans="1:12">
      <c r="A26" t="s">
        <v>70</v>
      </c>
      <c r="B26" s="35">
        <v>258</v>
      </c>
      <c r="C26" s="35">
        <v>235</v>
      </c>
      <c r="D26">
        <v>220</v>
      </c>
      <c r="E26">
        <v>200</v>
      </c>
      <c r="F26">
        <v>186</v>
      </c>
      <c r="G26">
        <v>175</v>
      </c>
      <c r="H26">
        <v>164</v>
      </c>
      <c r="I26">
        <v>154</v>
      </c>
      <c r="J26">
        <v>146</v>
      </c>
      <c r="K26">
        <v>138</v>
      </c>
      <c r="L26">
        <v>132</v>
      </c>
    </row>
    <row r="27" spans="1:12">
      <c r="B27" s="33">
        <f t="shared" ref="B27:L27" si="4">$B$22+$B$23*B25+$B$24*B25^2</f>
        <v>254.23925108669027</v>
      </c>
      <c r="C27" s="33">
        <f t="shared" si="4"/>
        <v>235.47115419880282</v>
      </c>
      <c r="D27" s="33">
        <f t="shared" si="4"/>
        <v>218.16617162713649</v>
      </c>
      <c r="E27" s="33">
        <f t="shared" si="4"/>
        <v>202.32430337169126</v>
      </c>
      <c r="F27" s="33">
        <f t="shared" si="4"/>
        <v>187.94554943246712</v>
      </c>
      <c r="G27" s="33">
        <f t="shared" si="4"/>
        <v>175.0299098094641</v>
      </c>
      <c r="H27" s="33">
        <f t="shared" si="4"/>
        <v>163.57738450268221</v>
      </c>
      <c r="I27" s="33">
        <f t="shared" si="4"/>
        <v>153.58797351212138</v>
      </c>
      <c r="J27" s="33">
        <f t="shared" si="4"/>
        <v>145.06167683778168</v>
      </c>
      <c r="K27" s="33">
        <f t="shared" si="4"/>
        <v>137.99849447966307</v>
      </c>
      <c r="L27" s="33">
        <f t="shared" si="4"/>
        <v>132.39842643776558</v>
      </c>
    </row>
    <row r="28" spans="1:12">
      <c r="A28" s="39">
        <f>SUM(B28:L28)</f>
        <v>12.538391204115783</v>
      </c>
      <c r="B28" s="33">
        <f t="shared" ref="B28:L28" si="5">ABS(B26-B27)</f>
        <v>3.760748913309726</v>
      </c>
      <c r="C28" s="38">
        <f t="shared" si="5"/>
        <v>0.47115419880282161</v>
      </c>
      <c r="D28" s="38">
        <f t="shared" si="5"/>
        <v>1.8338283728635076</v>
      </c>
      <c r="E28" s="38">
        <f t="shared" si="5"/>
        <v>2.3243033716912578</v>
      </c>
      <c r="F28" s="38">
        <f t="shared" si="5"/>
        <v>1.9455494324671179</v>
      </c>
      <c r="G28" s="38">
        <f t="shared" si="5"/>
        <v>2.9909809464101045E-2</v>
      </c>
      <c r="H28" s="38">
        <f t="shared" si="5"/>
        <v>0.42261549731779269</v>
      </c>
      <c r="I28" s="38">
        <f t="shared" si="5"/>
        <v>0.41202648787862017</v>
      </c>
      <c r="J28" s="38">
        <f t="shared" si="5"/>
        <v>0.93832316221832457</v>
      </c>
      <c r="K28" s="38">
        <f t="shared" si="5"/>
        <v>1.5055203369342962E-3</v>
      </c>
      <c r="L28" s="38">
        <f t="shared" si="5"/>
        <v>0.39842643776557907</v>
      </c>
    </row>
    <row r="31" spans="1:12">
      <c r="A31" s="26" t="s">
        <v>73</v>
      </c>
    </row>
    <row r="32" spans="1:12">
      <c r="A32" t="s">
        <v>66</v>
      </c>
      <c r="B32" s="28">
        <v>334.94930723741527</v>
      </c>
      <c r="C32" s="35"/>
    </row>
    <row r="33" spans="1:12">
      <c r="A33" t="s">
        <v>67</v>
      </c>
      <c r="B33" s="28">
        <v>-25.241114274739687</v>
      </c>
      <c r="C33" s="35"/>
    </row>
    <row r="34" spans="1:12">
      <c r="A34" t="s">
        <v>68</v>
      </c>
      <c r="B34" s="28">
        <v>1.0150705517731999</v>
      </c>
      <c r="C34" s="35"/>
    </row>
    <row r="35" spans="1:12">
      <c r="A35" t="s">
        <v>69</v>
      </c>
      <c r="B35">
        <v>0</v>
      </c>
      <c r="C35" s="35">
        <v>1</v>
      </c>
      <c r="D35">
        <v>2</v>
      </c>
      <c r="E35">
        <v>3</v>
      </c>
      <c r="F35">
        <v>4</v>
      </c>
      <c r="G35">
        <v>5</v>
      </c>
      <c r="H35">
        <v>6</v>
      </c>
      <c r="I35">
        <v>7</v>
      </c>
      <c r="J35">
        <v>8</v>
      </c>
      <c r="K35">
        <v>9</v>
      </c>
      <c r="L35">
        <v>10</v>
      </c>
    </row>
    <row r="36" spans="1:12">
      <c r="A36" t="s">
        <v>70</v>
      </c>
      <c r="B36" s="35">
        <v>335</v>
      </c>
      <c r="C36" s="35">
        <v>310</v>
      </c>
      <c r="D36">
        <v>288</v>
      </c>
      <c r="E36">
        <v>270</v>
      </c>
      <c r="F36">
        <v>250</v>
      </c>
      <c r="G36">
        <v>235</v>
      </c>
      <c r="H36">
        <v>220</v>
      </c>
      <c r="I36">
        <v>208</v>
      </c>
      <c r="J36">
        <v>198</v>
      </c>
      <c r="K36">
        <v>190</v>
      </c>
      <c r="L36">
        <v>182</v>
      </c>
    </row>
    <row r="37" spans="1:12">
      <c r="B37" s="33">
        <f t="shared" ref="B37:L37" si="6">$B$32+$B$33*B35+$B$34*B35^2</f>
        <v>334.94930723741527</v>
      </c>
      <c r="C37" s="33">
        <f t="shared" si="6"/>
        <v>310.72326351444877</v>
      </c>
      <c r="D37" s="33">
        <f t="shared" si="6"/>
        <v>288.52736089502872</v>
      </c>
      <c r="E37" s="33">
        <f t="shared" si="6"/>
        <v>268.361599379155</v>
      </c>
      <c r="F37" s="33">
        <f t="shared" si="6"/>
        <v>250.22597896682771</v>
      </c>
      <c r="G37" s="33">
        <f t="shared" si="6"/>
        <v>234.12049965804684</v>
      </c>
      <c r="H37" s="33">
        <f t="shared" si="6"/>
        <v>220.04516145281235</v>
      </c>
      <c r="I37" s="33">
        <f t="shared" si="6"/>
        <v>207.99996435112428</v>
      </c>
      <c r="J37" s="33">
        <f t="shared" si="6"/>
        <v>197.98490835298259</v>
      </c>
      <c r="K37" s="33">
        <f t="shared" si="6"/>
        <v>189.99999345838728</v>
      </c>
      <c r="L37" s="33">
        <f t="shared" si="6"/>
        <v>184.04521966733842</v>
      </c>
    </row>
    <row r="38" spans="1:12">
      <c r="A38" s="39">
        <f>SUM(B38:L38)</f>
        <v>6.1507120593447269</v>
      </c>
      <c r="B38" s="33">
        <f t="shared" ref="B38:L38" si="7">ABS(B36-B37)</f>
        <v>5.0692762584731099E-2</v>
      </c>
      <c r="C38" s="38">
        <f t="shared" si="7"/>
        <v>0.72326351444877446</v>
      </c>
      <c r="D38" s="38">
        <f t="shared" si="7"/>
        <v>0.52736089502872119</v>
      </c>
      <c r="E38" s="38">
        <f t="shared" si="7"/>
        <v>1.6384006208450046</v>
      </c>
      <c r="F38" s="38">
        <f t="shared" si="7"/>
        <v>0.22597896682771079</v>
      </c>
      <c r="G38" s="38">
        <f t="shared" si="7"/>
        <v>0.87950034195316107</v>
      </c>
      <c r="H38" s="38">
        <f t="shared" si="7"/>
        <v>4.5161452812351399E-2</v>
      </c>
      <c r="I38" s="38">
        <f t="shared" si="7"/>
        <v>3.5648875723381934E-5</v>
      </c>
      <c r="J38" s="38">
        <f t="shared" si="7"/>
        <v>1.5091647017413834E-2</v>
      </c>
      <c r="K38" s="38">
        <f t="shared" si="7"/>
        <v>6.5416127199569019E-6</v>
      </c>
      <c r="L38" s="38">
        <f t="shared" si="7"/>
        <v>2.0452196673384151</v>
      </c>
    </row>
    <row r="41" spans="1:12">
      <c r="A41" s="26" t="s">
        <v>74</v>
      </c>
    </row>
    <row r="42" spans="1:12">
      <c r="A42" t="s">
        <v>66</v>
      </c>
      <c r="B42" s="28">
        <v>504.99179913186993</v>
      </c>
      <c r="C42" s="35"/>
    </row>
    <row r="43" spans="1:12">
      <c r="A43" t="s">
        <v>67</v>
      </c>
      <c r="B43" s="28">
        <v>-34.085739814151395</v>
      </c>
      <c r="C43" s="35"/>
    </row>
    <row r="44" spans="1:12">
      <c r="A44" t="s">
        <v>68</v>
      </c>
      <c r="B44" s="28">
        <v>1.0940311788233987</v>
      </c>
      <c r="C44" s="35"/>
    </row>
    <row r="45" spans="1:12">
      <c r="A45" t="s">
        <v>69</v>
      </c>
      <c r="B45">
        <v>0</v>
      </c>
      <c r="C45" s="35">
        <v>1</v>
      </c>
      <c r="D45">
        <v>2</v>
      </c>
      <c r="E45">
        <v>3</v>
      </c>
      <c r="F45">
        <v>4</v>
      </c>
      <c r="G45">
        <v>5</v>
      </c>
      <c r="H45">
        <v>6</v>
      </c>
      <c r="I45">
        <v>7</v>
      </c>
      <c r="J45">
        <v>8</v>
      </c>
      <c r="K45">
        <v>9</v>
      </c>
      <c r="L45">
        <v>10</v>
      </c>
    </row>
    <row r="46" spans="1:12">
      <c r="A46" t="s">
        <v>70</v>
      </c>
      <c r="B46" s="35">
        <v>505</v>
      </c>
      <c r="C46" s="35">
        <v>472</v>
      </c>
      <c r="D46">
        <v>440</v>
      </c>
      <c r="E46">
        <v>414</v>
      </c>
      <c r="F46">
        <v>386</v>
      </c>
      <c r="G46">
        <v>362</v>
      </c>
      <c r="H46">
        <v>340</v>
      </c>
      <c r="I46">
        <v>320</v>
      </c>
      <c r="J46">
        <v>300</v>
      </c>
      <c r="K46">
        <v>285</v>
      </c>
      <c r="L46">
        <v>280</v>
      </c>
    </row>
    <row r="47" spans="1:12">
      <c r="B47" s="33">
        <f t="shared" ref="B47:L47" si="8">$B$42+$B$43*B45+$B$44*B45^2</f>
        <v>504.99179913186993</v>
      </c>
      <c r="C47" s="33">
        <f t="shared" si="8"/>
        <v>472.00009049654193</v>
      </c>
      <c r="D47" s="33">
        <f t="shared" si="8"/>
        <v>441.19644421886073</v>
      </c>
      <c r="E47" s="33">
        <f t="shared" si="8"/>
        <v>412.58086029882634</v>
      </c>
      <c r="F47" s="33">
        <f t="shared" si="8"/>
        <v>386.15333873643874</v>
      </c>
      <c r="G47" s="33">
        <f t="shared" si="8"/>
        <v>361.91387953169794</v>
      </c>
      <c r="H47" s="33">
        <f t="shared" si="8"/>
        <v>339.86248268460389</v>
      </c>
      <c r="I47" s="33">
        <f t="shared" si="8"/>
        <v>319.99914819515669</v>
      </c>
      <c r="J47" s="33">
        <f t="shared" si="8"/>
        <v>302.32387606335629</v>
      </c>
      <c r="K47" s="33">
        <f t="shared" si="8"/>
        <v>286.83666628920264</v>
      </c>
      <c r="L47" s="33">
        <f t="shared" si="8"/>
        <v>273.53751887269584</v>
      </c>
    </row>
    <row r="48" spans="1:12">
      <c r="A48" s="39">
        <f>SUM(B48:L48)</f>
        <v>13.624727089549708</v>
      </c>
      <c r="B48" s="33">
        <f t="shared" ref="B48:L48" si="9">ABS(B46-B47)</f>
        <v>8.2008681300749231E-3</v>
      </c>
      <c r="C48" s="38">
        <f t="shared" si="9"/>
        <v>9.0496541929496743E-5</v>
      </c>
      <c r="D48" s="38">
        <f t="shared" si="9"/>
        <v>1.1964442188607336</v>
      </c>
      <c r="E48" s="38">
        <f t="shared" si="9"/>
        <v>1.4191397011736626</v>
      </c>
      <c r="F48" s="38">
        <f t="shared" si="9"/>
        <v>0.15333873643874085</v>
      </c>
      <c r="G48" s="38">
        <f t="shared" si="9"/>
        <v>8.6120468302055997E-2</v>
      </c>
      <c r="H48" s="38">
        <f t="shared" si="9"/>
        <v>0.13751731539611001</v>
      </c>
      <c r="I48" s="38">
        <f t="shared" si="9"/>
        <v>8.5180484330749096E-4</v>
      </c>
      <c r="J48" s="38">
        <f t="shared" si="9"/>
        <v>2.3238760633562947</v>
      </c>
      <c r="K48" s="38">
        <f t="shared" si="9"/>
        <v>1.8366662892026397</v>
      </c>
      <c r="L48" s="38">
        <f t="shared" si="9"/>
        <v>6.4624811273041587</v>
      </c>
    </row>
  </sheetData>
  <phoneticPr fontId="0" type="noConversion"/>
  <pageMargins left="0.78740157499999996" right="0.78740157499999996" top="0.984251969" bottom="0.984251969"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8"/>
  <dimension ref="A1:G30"/>
  <sheetViews>
    <sheetView workbookViewId="0">
      <selection activeCell="J38" sqref="J38"/>
    </sheetView>
  </sheetViews>
  <sheetFormatPr baseColWidth="10" defaultColWidth="9.109375" defaultRowHeight="13.2"/>
  <sheetData>
    <row r="1" spans="1:7">
      <c r="B1" s="1" t="s">
        <v>46</v>
      </c>
      <c r="C1" s="6">
        <v>0.3</v>
      </c>
      <c r="D1" s="6">
        <v>0.4</v>
      </c>
      <c r="E1" s="17">
        <v>0.5</v>
      </c>
      <c r="F1" t="s">
        <v>190</v>
      </c>
    </row>
    <row r="2" spans="1:7">
      <c r="A2" s="1">
        <v>10</v>
      </c>
      <c r="B2" s="27">
        <v>4.0000000000000002E-4</v>
      </c>
      <c r="C2" s="18">
        <v>3.0000000000000001E-3</v>
      </c>
      <c r="D2" s="18">
        <v>3.0000000000000001E-3</v>
      </c>
      <c r="E2" s="19">
        <v>4.4999999999999997E-3</v>
      </c>
      <c r="F2" s="104">
        <v>4.3E-3</v>
      </c>
      <c r="G2" s="104"/>
    </row>
    <row r="3" spans="1:7">
      <c r="A3" s="1">
        <v>15</v>
      </c>
      <c r="B3" s="25">
        <v>1E-3</v>
      </c>
      <c r="C3" s="18">
        <v>5.0000000000000001E-3</v>
      </c>
      <c r="D3" s="18">
        <v>4.0000000000000001E-3</v>
      </c>
      <c r="E3" s="19">
        <v>7.4999999999999997E-3</v>
      </c>
      <c r="F3" s="104">
        <v>7.9000000000000008E-3</v>
      </c>
      <c r="G3" s="104"/>
    </row>
    <row r="4" spans="1:7">
      <c r="A4" s="1">
        <v>20</v>
      </c>
      <c r="B4" s="25">
        <v>1.8E-3</v>
      </c>
      <c r="C4" s="18">
        <v>7.0000000000000001E-3</v>
      </c>
      <c r="D4" s="18">
        <v>8.0000000000000002E-3</v>
      </c>
      <c r="E4" s="19">
        <v>9.4999999999999998E-3</v>
      </c>
      <c r="F4" s="104">
        <v>1.14E-2</v>
      </c>
      <c r="G4" s="104"/>
    </row>
    <row r="5" spans="1:7">
      <c r="A5" s="1">
        <v>25</v>
      </c>
      <c r="B5" s="25">
        <v>3.0000000000000001E-3</v>
      </c>
      <c r="C5" s="18">
        <v>9.0000000000000011E-3</v>
      </c>
      <c r="D5" s="18">
        <v>1.0999999999999999E-2</v>
      </c>
      <c r="E5" s="19">
        <v>1.2500000000000001E-2</v>
      </c>
      <c r="F5" s="104">
        <v>1.4999999999999999E-2</v>
      </c>
      <c r="G5" s="104"/>
    </row>
    <row r="6" spans="1:7">
      <c r="A6" s="1">
        <v>30</v>
      </c>
      <c r="B6" s="27">
        <v>4.4000000000000003E-3</v>
      </c>
      <c r="C6" s="18">
        <v>1.0999999999999999E-2</v>
      </c>
      <c r="D6" s="18">
        <v>1.4E-2</v>
      </c>
      <c r="E6" s="19">
        <v>1.4999999999999999E-2</v>
      </c>
      <c r="F6" s="104">
        <v>1.8599999999999998E-2</v>
      </c>
      <c r="G6" s="104"/>
    </row>
    <row r="7" spans="1:7">
      <c r="A7" s="1">
        <v>35</v>
      </c>
      <c r="B7" s="27">
        <v>6.1000000000000004E-3</v>
      </c>
      <c r="C7" s="18">
        <v>1.3000000000000001E-2</v>
      </c>
      <c r="D7" s="18">
        <v>1.7000000000000001E-2</v>
      </c>
      <c r="E7" s="19">
        <v>1.7999999999999999E-2</v>
      </c>
      <c r="F7" s="104">
        <v>2.2100000000000002E-2</v>
      </c>
      <c r="G7" s="104"/>
    </row>
    <row r="8" spans="1:7">
      <c r="A8" s="1">
        <v>40</v>
      </c>
      <c r="B8" s="27">
        <v>7.9000000000000008E-3</v>
      </c>
      <c r="C8" s="18">
        <v>1.4999999999999999E-2</v>
      </c>
      <c r="D8" s="18">
        <v>0.02</v>
      </c>
      <c r="E8" s="19">
        <v>2.1000000000000001E-2</v>
      </c>
      <c r="F8" s="104">
        <v>2.5700000000000001E-2</v>
      </c>
      <c r="G8" s="104"/>
    </row>
    <row r="9" spans="1:7">
      <c r="A9" s="1">
        <v>45</v>
      </c>
      <c r="B9" s="27">
        <v>9.9000000000000008E-3</v>
      </c>
      <c r="C9" s="18">
        <v>1.7000000000000001E-2</v>
      </c>
      <c r="D9" s="18">
        <v>2.3000000000000003E-2</v>
      </c>
      <c r="E9" s="19">
        <v>2.3E-2</v>
      </c>
      <c r="F9" s="104">
        <v>2.93E-2</v>
      </c>
      <c r="G9" s="104"/>
    </row>
    <row r="10" spans="1:7">
      <c r="A10" s="1">
        <v>50</v>
      </c>
      <c r="B10" s="27">
        <v>1.21E-2</v>
      </c>
      <c r="C10" s="18">
        <v>2.1000000000000001E-2</v>
      </c>
      <c r="D10" s="18">
        <v>2.6000000000000006E-2</v>
      </c>
      <c r="E10" s="19">
        <v>2.7E-2</v>
      </c>
      <c r="F10" s="104">
        <v>3.2899999999999999E-2</v>
      </c>
      <c r="G10" s="104"/>
    </row>
    <row r="11" spans="1:7">
      <c r="A11" s="1">
        <v>55</v>
      </c>
      <c r="B11" s="27">
        <v>1.46E-2</v>
      </c>
      <c r="C11" s="18">
        <v>2.3E-2</v>
      </c>
      <c r="D11" s="18">
        <v>2.9000000000000008E-2</v>
      </c>
      <c r="E11" s="19">
        <v>0.03</v>
      </c>
      <c r="F11" s="104">
        <v>3.6400000000000002E-2</v>
      </c>
      <c r="G11" s="104"/>
    </row>
    <row r="12" spans="1:7">
      <c r="A12" s="1">
        <v>60</v>
      </c>
      <c r="B12" s="27">
        <v>1.7100000000000001E-2</v>
      </c>
      <c r="C12" s="18">
        <v>2.7E-2</v>
      </c>
      <c r="D12" s="18">
        <v>3.2000000000000015E-2</v>
      </c>
      <c r="E12" s="19">
        <v>3.4000000000000002E-2</v>
      </c>
      <c r="F12" s="104">
        <v>0.04</v>
      </c>
      <c r="G12" s="104"/>
    </row>
    <row r="13" spans="1:7">
      <c r="A13" s="1">
        <v>65</v>
      </c>
      <c r="B13" s="27">
        <v>1.9900000000000001E-2</v>
      </c>
      <c r="C13" s="18">
        <v>0.03</v>
      </c>
      <c r="D13" s="18">
        <v>3.5000000000000003E-2</v>
      </c>
      <c r="E13" s="19">
        <v>3.6999999999999998E-2</v>
      </c>
      <c r="F13" s="104">
        <v>4.36E-2</v>
      </c>
      <c r="G13" s="104"/>
    </row>
    <row r="14" spans="1:7">
      <c r="A14" s="1">
        <v>70</v>
      </c>
      <c r="B14" s="27">
        <v>2.2800000000000001E-2</v>
      </c>
      <c r="C14" s="18">
        <v>3.3000000000000002E-2</v>
      </c>
      <c r="D14" s="18">
        <v>3.800000000000002E-2</v>
      </c>
      <c r="E14" s="19">
        <v>4.1000000000000002E-2</v>
      </c>
      <c r="F14" s="104">
        <v>4.7100000000000003E-2</v>
      </c>
      <c r="G14" s="104"/>
    </row>
    <row r="15" spans="1:7">
      <c r="A15" s="1">
        <v>75</v>
      </c>
      <c r="B15" s="27">
        <v>2.58E-2</v>
      </c>
      <c r="C15" s="18">
        <v>3.5000000000000003E-2</v>
      </c>
      <c r="D15" s="18">
        <v>4.1000000000000023E-2</v>
      </c>
      <c r="E15" s="19">
        <v>4.2999999999999997E-2</v>
      </c>
      <c r="F15" s="104">
        <v>5.0700000000000002E-2</v>
      </c>
      <c r="G15" s="104"/>
    </row>
    <row r="16" spans="1:7">
      <c r="A16" s="1">
        <v>80</v>
      </c>
      <c r="B16" s="27">
        <v>2.9000000000000001E-2</v>
      </c>
      <c r="C16" s="18">
        <v>3.7999999999999999E-2</v>
      </c>
      <c r="D16" s="18">
        <v>4.4000000000000025E-2</v>
      </c>
      <c r="E16" s="19">
        <v>4.7E-2</v>
      </c>
      <c r="F16" s="104">
        <v>5.4300000000000001E-2</v>
      </c>
      <c r="G16" s="104"/>
    </row>
    <row r="17" spans="1:7">
      <c r="A17" s="1">
        <v>85</v>
      </c>
      <c r="B17" s="27">
        <v>3.2300000000000002E-2</v>
      </c>
      <c r="C17" s="18">
        <v>4.1000000000000002E-2</v>
      </c>
      <c r="D17" s="18">
        <v>4.7000000000000028E-2</v>
      </c>
      <c r="E17" s="19">
        <v>0.05</v>
      </c>
      <c r="F17" s="104">
        <v>5.79E-2</v>
      </c>
      <c r="G17" s="104"/>
    </row>
    <row r="18" spans="1:7">
      <c r="A18" s="1">
        <v>90</v>
      </c>
      <c r="B18" s="27">
        <v>3.5900000000000001E-2</v>
      </c>
      <c r="C18" s="18">
        <v>4.2999999999999997E-2</v>
      </c>
      <c r="D18" s="18">
        <v>0.05</v>
      </c>
      <c r="E18" s="19">
        <v>5.3999999999999999E-2</v>
      </c>
      <c r="F18" s="27"/>
      <c r="G18" s="27"/>
    </row>
    <row r="19" spans="1:7">
      <c r="A19" s="1">
        <v>95</v>
      </c>
      <c r="B19" s="27">
        <v>3.95E-2</v>
      </c>
      <c r="C19" s="18">
        <v>4.7E-2</v>
      </c>
      <c r="D19" s="18">
        <v>5.3000000000000033E-2</v>
      </c>
      <c r="E19" s="19">
        <v>5.7000000000000002E-2</v>
      </c>
      <c r="F19" s="27"/>
      <c r="G19" s="27"/>
    </row>
    <row r="20" spans="1:7">
      <c r="A20" s="1">
        <v>100</v>
      </c>
      <c r="B20" s="27">
        <v>4.3499999999999997E-2</v>
      </c>
      <c r="C20" s="18">
        <v>0.05</v>
      </c>
      <c r="D20" s="18">
        <v>5.6000000000000036E-2</v>
      </c>
      <c r="E20" s="19">
        <v>6.0999999999999999E-2</v>
      </c>
      <c r="F20" s="27"/>
      <c r="G20" s="27"/>
    </row>
    <row r="21" spans="1:7">
      <c r="A21" s="1">
        <v>105</v>
      </c>
      <c r="B21" s="104">
        <v>4.7399999999999998E-2</v>
      </c>
    </row>
    <row r="22" spans="1:7">
      <c r="A22" s="1">
        <v>110</v>
      </c>
      <c r="B22" s="104">
        <v>5.1499999999999997E-2</v>
      </c>
    </row>
    <row r="23" spans="1:7">
      <c r="A23" s="1">
        <v>120</v>
      </c>
      <c r="B23" s="104">
        <v>6.0299999999999999E-2</v>
      </c>
    </row>
    <row r="24" spans="1:7">
      <c r="A24" s="1">
        <v>130</v>
      </c>
      <c r="B24" s="104">
        <v>6.9599999999999995E-2</v>
      </c>
    </row>
    <row r="25" spans="1:7">
      <c r="A25" s="1">
        <v>140</v>
      </c>
      <c r="B25" s="104">
        <v>7.9600000000000004E-2</v>
      </c>
    </row>
    <row r="26" spans="1:7">
      <c r="A26" s="1">
        <v>150</v>
      </c>
      <c r="B26" s="104">
        <v>9.0300000000000005E-2</v>
      </c>
    </row>
    <row r="27" spans="1:7">
      <c r="A27" s="1">
        <v>160</v>
      </c>
      <c r="B27" s="104">
        <v>0.10199999999999999</v>
      </c>
    </row>
    <row r="28" spans="1:7">
      <c r="A28" s="1"/>
    </row>
    <row r="29" spans="1:7">
      <c r="A29" s="1"/>
    </row>
    <row r="30" spans="1:7">
      <c r="B30" s="14"/>
    </row>
  </sheetData>
  <phoneticPr fontId="0" type="noConversion"/>
  <printOptions gridLines="1" gridLinesSet="0"/>
  <pageMargins left="0.78740157499999996" right="0.78740157499999996" top="0.984251969" bottom="0.984251969" header="0.5" footer="0.5"/>
  <pageSetup paperSize="9" orientation="portrait" verticalDpi="1200" r:id="rId1"/>
  <headerFooter alignWithMargins="0">
    <oddHeader>&amp;A</oddHeader>
    <oddFooter>Side &amp;P</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1"/>
  <dimension ref="A2:K42"/>
  <sheetViews>
    <sheetView workbookViewId="0">
      <selection activeCell="C12" sqref="C12"/>
    </sheetView>
  </sheetViews>
  <sheetFormatPr baseColWidth="10" defaultRowHeight="13.2"/>
  <cols>
    <col min="2" max="2" width="17" bestFit="1" customWidth="1"/>
    <col min="4" max="4" width="15.33203125" customWidth="1"/>
  </cols>
  <sheetData>
    <row r="2" spans="1:11">
      <c r="E2" s="14"/>
      <c r="F2" s="14"/>
    </row>
    <row r="3" spans="1:11">
      <c r="B3" s="14" t="s">
        <v>305</v>
      </c>
      <c r="C3">
        <f>Effekt</f>
        <v>1100</v>
      </c>
      <c r="D3" s="14" t="s">
        <v>33</v>
      </c>
      <c r="E3" s="14"/>
    </row>
    <row r="4" spans="1:11">
      <c r="B4" s="14" t="s">
        <v>230</v>
      </c>
      <c r="C4">
        <f>Varme!E12</f>
        <v>10</v>
      </c>
      <c r="D4" s="14" t="s">
        <v>57</v>
      </c>
    </row>
    <row r="5" spans="1:11">
      <c r="B5" s="14" t="s">
        <v>306</v>
      </c>
      <c r="C5">
        <f>C4/10</f>
        <v>1</v>
      </c>
      <c r="D5" s="14" t="s">
        <v>64</v>
      </c>
    </row>
    <row r="6" spans="1:11">
      <c r="B6" s="14" t="s">
        <v>79</v>
      </c>
      <c r="C6" s="44">
        <f>ekspansjon</f>
        <v>3</v>
      </c>
      <c r="D6" s="14" t="s">
        <v>3</v>
      </c>
    </row>
    <row r="7" spans="1:11">
      <c r="B7" s="14" t="s">
        <v>323</v>
      </c>
      <c r="C7" t="str">
        <f>VLOOKUP(C6,B30:C42,2)</f>
        <v>Variomat 200</v>
      </c>
      <c r="D7" s="14"/>
    </row>
    <row r="8" spans="1:11">
      <c r="B8" s="14" t="s">
        <v>308</v>
      </c>
      <c r="C8" t="str">
        <f>IFERROR(VLOOKUP(K10,A13:C24,3,FALSE),C13)</f>
        <v>VS1</v>
      </c>
      <c r="D8" s="14"/>
    </row>
    <row r="9" spans="1:11">
      <c r="B9" s="14"/>
      <c r="D9" s="14"/>
    </row>
    <row r="10" spans="1:11">
      <c r="A10" s="14" t="s">
        <v>309</v>
      </c>
      <c r="B10" s="14"/>
      <c r="D10" s="14"/>
      <c r="K10" s="249">
        <f>SUM(K13:K24)</f>
        <v>2.4</v>
      </c>
    </row>
    <row r="12" spans="1:11">
      <c r="A12" s="14" t="s">
        <v>307</v>
      </c>
      <c r="B12" s="14" t="s">
        <v>288</v>
      </c>
      <c r="C12" s="14" t="s">
        <v>308</v>
      </c>
      <c r="D12" s="14" t="s">
        <v>289</v>
      </c>
      <c r="E12" s="14" t="s">
        <v>298</v>
      </c>
      <c r="F12" s="14" t="s">
        <v>291</v>
      </c>
      <c r="G12" s="14" t="s">
        <v>292</v>
      </c>
      <c r="H12" s="171" t="s">
        <v>290</v>
      </c>
      <c r="I12" s="14" t="s">
        <v>396</v>
      </c>
      <c r="J12" s="14" t="s">
        <v>482</v>
      </c>
      <c r="K12" s="14" t="s">
        <v>290</v>
      </c>
    </row>
    <row r="13" spans="1:11">
      <c r="A13">
        <v>0</v>
      </c>
      <c r="B13">
        <v>1</v>
      </c>
      <c r="C13" s="14" t="s">
        <v>276</v>
      </c>
      <c r="D13">
        <v>2.2000000000000002</v>
      </c>
      <c r="E13">
        <v>2.5</v>
      </c>
      <c r="F13">
        <v>3.5</v>
      </c>
      <c r="G13">
        <v>3.5</v>
      </c>
      <c r="H13" s="114">
        <f t="shared" ref="H13:H24" si="0">F13-(F13/G13)*Effekt/1000</f>
        <v>2.4</v>
      </c>
      <c r="I13">
        <f t="shared" ref="I13:I24" si="1">IF(D13&gt;=Effekt/1000,1,0)</f>
        <v>1</v>
      </c>
      <c r="J13">
        <f>IF($C$5&gt;H13,0,1)</f>
        <v>1</v>
      </c>
      <c r="K13" s="58">
        <f>MIN(H13*I13*J13,E13)</f>
        <v>2.4</v>
      </c>
    </row>
    <row r="14" spans="1:11">
      <c r="A14" s="175">
        <f>K14</f>
        <v>0</v>
      </c>
      <c r="B14">
        <v>2</v>
      </c>
      <c r="C14" s="14" t="s">
        <v>277</v>
      </c>
      <c r="D14">
        <v>4</v>
      </c>
      <c r="E14">
        <v>4.8</v>
      </c>
      <c r="F14">
        <v>5.9</v>
      </c>
      <c r="G14">
        <v>5.3</v>
      </c>
      <c r="H14" s="114">
        <f t="shared" si="0"/>
        <v>4.6754716981132081</v>
      </c>
      <c r="I14">
        <f t="shared" si="1"/>
        <v>1</v>
      </c>
      <c r="J14">
        <f>IF($C$5&gt;H14,0,1)</f>
        <v>1</v>
      </c>
      <c r="K14" s="58">
        <f>IF(SUM($K$13:K13)&lt;&gt;0,0,MIN(H14*I14*J14,E14))</f>
        <v>0</v>
      </c>
    </row>
    <row r="15" spans="1:11">
      <c r="A15" s="175">
        <f t="shared" ref="A15:A24" si="2">K15</f>
        <v>0</v>
      </c>
      <c r="B15">
        <v>3</v>
      </c>
      <c r="C15" s="14" t="s">
        <v>278</v>
      </c>
      <c r="D15">
        <v>4</v>
      </c>
      <c r="E15">
        <v>6.5</v>
      </c>
      <c r="F15">
        <v>7.9</v>
      </c>
      <c r="G15">
        <v>5.8</v>
      </c>
      <c r="H15" s="114">
        <f t="shared" si="0"/>
        <v>6.4017241379310343</v>
      </c>
      <c r="I15">
        <f t="shared" si="1"/>
        <v>1</v>
      </c>
      <c r="J15">
        <f>IF($C$5&gt;H15,0,1)</f>
        <v>1</v>
      </c>
      <c r="K15" s="58">
        <f>IF(SUM($K$13:K14)&lt;&gt;0,0,MIN(H15*I15*J15,E15))</f>
        <v>0</v>
      </c>
    </row>
    <row r="16" spans="1:11">
      <c r="A16" s="175">
        <f t="shared" si="2"/>
        <v>0</v>
      </c>
      <c r="B16">
        <v>4</v>
      </c>
      <c r="C16" s="14" t="s">
        <v>279</v>
      </c>
      <c r="D16">
        <v>4</v>
      </c>
      <c r="E16">
        <v>8</v>
      </c>
      <c r="F16">
        <v>9.6</v>
      </c>
      <c r="G16">
        <v>6.7</v>
      </c>
      <c r="H16" s="114">
        <f t="shared" si="0"/>
        <v>8.0238805970149247</v>
      </c>
      <c r="I16">
        <f t="shared" si="1"/>
        <v>1</v>
      </c>
      <c r="J16">
        <f t="shared" ref="J16:J24" si="3">IF($C$5&gt;H16,0,1)</f>
        <v>1</v>
      </c>
      <c r="K16" s="58">
        <f>IF(SUM($K$13:K15)&lt;&gt;0,0,MIN(H16*I16*J16,E16))</f>
        <v>0</v>
      </c>
    </row>
    <row r="17" spans="1:11">
      <c r="A17" s="175">
        <f t="shared" si="2"/>
        <v>0</v>
      </c>
      <c r="B17">
        <v>5</v>
      </c>
      <c r="C17" s="14" t="s">
        <v>281</v>
      </c>
      <c r="D17">
        <v>4</v>
      </c>
      <c r="E17">
        <v>2.5</v>
      </c>
      <c r="F17">
        <v>4</v>
      </c>
      <c r="G17">
        <v>6</v>
      </c>
      <c r="H17" s="114">
        <f t="shared" si="0"/>
        <v>3.2666666666666666</v>
      </c>
      <c r="I17">
        <f t="shared" si="1"/>
        <v>1</v>
      </c>
      <c r="J17">
        <f t="shared" si="3"/>
        <v>1</v>
      </c>
      <c r="K17" s="58">
        <f>IF(SUM($K$13:K16)&lt;&gt;0,0,MIN(H17*I17*J17,E17))</f>
        <v>0</v>
      </c>
    </row>
    <row r="18" spans="1:11">
      <c r="A18" s="175">
        <f t="shared" si="2"/>
        <v>0</v>
      </c>
      <c r="B18">
        <v>6</v>
      </c>
      <c r="C18" s="14" t="s">
        <v>282</v>
      </c>
      <c r="D18">
        <v>8</v>
      </c>
      <c r="E18">
        <v>4.8</v>
      </c>
      <c r="F18">
        <v>6</v>
      </c>
      <c r="G18">
        <v>11</v>
      </c>
      <c r="H18" s="114">
        <f t="shared" si="0"/>
        <v>5.4</v>
      </c>
      <c r="I18">
        <f t="shared" si="1"/>
        <v>1</v>
      </c>
      <c r="J18">
        <f t="shared" si="3"/>
        <v>1</v>
      </c>
      <c r="K18" s="58">
        <f>IF(SUM($K$13:K17)&lt;&gt;0,0,MIN(H18*I18*J18,E18))</f>
        <v>0</v>
      </c>
    </row>
    <row r="19" spans="1:11">
      <c r="A19" s="175">
        <f t="shared" si="2"/>
        <v>0</v>
      </c>
      <c r="B19">
        <v>7</v>
      </c>
      <c r="C19" s="14" t="s">
        <v>283</v>
      </c>
      <c r="D19">
        <v>8</v>
      </c>
      <c r="E19">
        <v>6.5</v>
      </c>
      <c r="F19">
        <v>8</v>
      </c>
      <c r="G19">
        <v>12</v>
      </c>
      <c r="H19" s="114">
        <f t="shared" si="0"/>
        <v>7.2666666666666666</v>
      </c>
      <c r="I19">
        <f t="shared" si="1"/>
        <v>1</v>
      </c>
      <c r="J19">
        <f t="shared" si="3"/>
        <v>1</v>
      </c>
      <c r="K19" s="58">
        <f>IF(SUM($K$13:K18)&lt;&gt;0,0,MIN(H19*I19*J19,E19))</f>
        <v>0</v>
      </c>
    </row>
    <row r="20" spans="1:11">
      <c r="A20" s="175">
        <f t="shared" si="2"/>
        <v>0</v>
      </c>
      <c r="B20">
        <v>8</v>
      </c>
      <c r="C20" s="14" t="s">
        <v>284</v>
      </c>
      <c r="D20">
        <v>8</v>
      </c>
      <c r="E20">
        <v>8</v>
      </c>
      <c r="F20">
        <v>10</v>
      </c>
      <c r="G20">
        <v>13</v>
      </c>
      <c r="H20" s="114">
        <f t="shared" si="0"/>
        <v>9.1538461538461533</v>
      </c>
      <c r="I20">
        <f t="shared" si="1"/>
        <v>1</v>
      </c>
      <c r="J20">
        <f t="shared" si="3"/>
        <v>1</v>
      </c>
      <c r="K20" s="58">
        <f>IF(SUM($K$13:K19)&lt;&gt;0,0,MIN(H20*I20*J20,E20))</f>
        <v>0</v>
      </c>
    </row>
    <row r="21" spans="1:11">
      <c r="A21" s="175">
        <f t="shared" si="2"/>
        <v>0</v>
      </c>
      <c r="B21">
        <v>9</v>
      </c>
      <c r="C21" s="14" t="s">
        <v>285</v>
      </c>
      <c r="D21">
        <v>10</v>
      </c>
      <c r="E21">
        <v>6.5</v>
      </c>
      <c r="F21">
        <v>7.2</v>
      </c>
      <c r="G21">
        <v>23</v>
      </c>
      <c r="H21" s="114">
        <f t="shared" si="0"/>
        <v>6.8556521739130432</v>
      </c>
      <c r="I21">
        <f t="shared" si="1"/>
        <v>1</v>
      </c>
      <c r="J21">
        <f t="shared" si="3"/>
        <v>1</v>
      </c>
      <c r="K21" s="58">
        <f>IF(SUM($K$13:K20)&lt;&gt;0,0,MIN(H21*I21*J21,E21))</f>
        <v>0</v>
      </c>
    </row>
    <row r="22" spans="1:11">
      <c r="A22" s="175">
        <f t="shared" si="2"/>
        <v>0</v>
      </c>
      <c r="B22">
        <v>10</v>
      </c>
      <c r="C22" s="14" t="s">
        <v>286</v>
      </c>
      <c r="D22">
        <v>10</v>
      </c>
      <c r="E22">
        <v>8</v>
      </c>
      <c r="F22">
        <v>8.9</v>
      </c>
      <c r="G22">
        <v>26.7</v>
      </c>
      <c r="H22" s="114">
        <f t="shared" si="0"/>
        <v>8.5333333333333332</v>
      </c>
      <c r="I22">
        <f t="shared" si="1"/>
        <v>1</v>
      </c>
      <c r="J22">
        <f t="shared" si="3"/>
        <v>1</v>
      </c>
      <c r="K22" s="58">
        <f>IF(SUM($K$13:K21)&lt;&gt;0,0,MIN(H22*I22*J22,E22))</f>
        <v>0</v>
      </c>
    </row>
    <row r="23" spans="1:11">
      <c r="A23" s="175">
        <f t="shared" si="2"/>
        <v>0</v>
      </c>
      <c r="B23">
        <v>11</v>
      </c>
      <c r="C23" s="14" t="s">
        <v>280</v>
      </c>
      <c r="D23">
        <v>4</v>
      </c>
      <c r="E23">
        <v>13.5</v>
      </c>
      <c r="F23">
        <v>14</v>
      </c>
      <c r="G23">
        <v>14</v>
      </c>
      <c r="H23" s="114">
        <f t="shared" si="0"/>
        <v>12.9</v>
      </c>
      <c r="I23">
        <f t="shared" si="1"/>
        <v>1</v>
      </c>
      <c r="J23">
        <f t="shared" si="3"/>
        <v>1</v>
      </c>
      <c r="K23" s="58">
        <f>IF(SUM($K$13:K22)&lt;&gt;0,0,MIN(H23*I23*J23,E23))</f>
        <v>0</v>
      </c>
    </row>
    <row r="24" spans="1:11">
      <c r="A24" s="175">
        <f t="shared" si="2"/>
        <v>0</v>
      </c>
      <c r="B24">
        <v>12</v>
      </c>
      <c r="C24" s="14" t="s">
        <v>287</v>
      </c>
      <c r="D24">
        <v>8</v>
      </c>
      <c r="E24">
        <v>13.5</v>
      </c>
      <c r="F24">
        <v>13.7</v>
      </c>
      <c r="G24">
        <v>34</v>
      </c>
      <c r="H24" s="114">
        <f t="shared" si="0"/>
        <v>13.256764705882352</v>
      </c>
      <c r="I24">
        <f t="shared" si="1"/>
        <v>1</v>
      </c>
      <c r="J24">
        <f t="shared" si="3"/>
        <v>1</v>
      </c>
      <c r="K24" s="58">
        <f>IF(SUM($K$13:K23)&lt;&gt;0,0,MIN(H24*I24*J24,E24))</f>
        <v>0</v>
      </c>
    </row>
    <row r="25" spans="1:11">
      <c r="A25" s="14"/>
      <c r="B25" s="14"/>
      <c r="C25" s="14"/>
      <c r="D25" s="14"/>
      <c r="E25" s="14"/>
      <c r="F25" s="14"/>
      <c r="G25" s="14"/>
      <c r="H25" s="171"/>
    </row>
    <row r="29" spans="1:11">
      <c r="C29" s="4" t="s">
        <v>310</v>
      </c>
    </row>
    <row r="30" spans="1:11">
      <c r="B30">
        <v>0</v>
      </c>
      <c r="C30" s="14" t="s">
        <v>311</v>
      </c>
    </row>
    <row r="31" spans="1:11">
      <c r="B31">
        <v>160</v>
      </c>
      <c r="C31" s="14" t="s">
        <v>312</v>
      </c>
    </row>
    <row r="32" spans="1:11">
      <c r="B32">
        <v>240</v>
      </c>
      <c r="C32" s="14" t="s">
        <v>313</v>
      </c>
    </row>
    <row r="33" spans="2:3">
      <c r="B33">
        <v>320</v>
      </c>
      <c r="C33" s="14" t="s">
        <v>314</v>
      </c>
    </row>
    <row r="34" spans="2:3">
      <c r="B34">
        <v>400</v>
      </c>
      <c r="C34" s="14" t="s">
        <v>315</v>
      </c>
    </row>
    <row r="35" spans="2:3">
      <c r="B35">
        <v>480</v>
      </c>
      <c r="C35" t="s">
        <v>316</v>
      </c>
    </row>
    <row r="36" spans="2:3">
      <c r="B36">
        <v>640</v>
      </c>
      <c r="C36" t="s">
        <v>317</v>
      </c>
    </row>
    <row r="37" spans="2:3">
      <c r="B37">
        <v>800</v>
      </c>
      <c r="C37" t="s">
        <v>318</v>
      </c>
    </row>
    <row r="38" spans="2:3">
      <c r="B38">
        <v>1200</v>
      </c>
      <c r="C38" t="s">
        <v>319</v>
      </c>
    </row>
    <row r="39" spans="2:3">
      <c r="B39">
        <v>1600</v>
      </c>
      <c r="C39" t="s">
        <v>320</v>
      </c>
    </row>
    <row r="40" spans="2:3">
      <c r="B40">
        <v>2400</v>
      </c>
      <c r="C40" t="s">
        <v>321</v>
      </c>
    </row>
    <row r="41" spans="2:3">
      <c r="B41">
        <v>3200</v>
      </c>
      <c r="C41" t="s">
        <v>322</v>
      </c>
    </row>
    <row r="42" spans="2:3">
      <c r="B42">
        <v>4000</v>
      </c>
      <c r="C42" t="s">
        <v>108</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1">
    <pageSetUpPr fitToPage="1"/>
  </sheetPr>
  <dimension ref="B2:AB78"/>
  <sheetViews>
    <sheetView zoomScale="85" workbookViewId="0">
      <selection activeCell="J2" sqref="J2:L14"/>
    </sheetView>
  </sheetViews>
  <sheetFormatPr baseColWidth="10" defaultColWidth="11.44140625" defaultRowHeight="13.2"/>
  <cols>
    <col min="1" max="1" width="3.33203125" style="59" customWidth="1"/>
    <col min="2" max="2" width="9.33203125" style="59" customWidth="1"/>
    <col min="3" max="3" width="2.6640625" style="59" customWidth="1"/>
    <col min="4" max="4" width="36.88671875" style="59" customWidth="1"/>
    <col min="5" max="5" width="19.44140625" style="59" customWidth="1"/>
    <col min="6" max="6" width="64" style="59" customWidth="1"/>
    <col min="7" max="7" width="20" style="59" customWidth="1"/>
    <col min="8" max="11" width="11.44140625" style="59"/>
    <col min="12" max="12" width="29.5546875" style="59" customWidth="1"/>
    <col min="13" max="19" width="11.44140625" style="178"/>
    <col min="20" max="28" width="11.44140625" style="179"/>
    <col min="29" max="16384" width="11.44140625" style="59"/>
  </cols>
  <sheetData>
    <row r="2" spans="2:17" ht="17.399999999999999">
      <c r="B2" s="83"/>
      <c r="C2" s="63" t="s">
        <v>176</v>
      </c>
      <c r="D2" s="64"/>
      <c r="E2" s="64"/>
      <c r="F2" s="64"/>
      <c r="G2" s="64"/>
      <c r="H2" s="64"/>
      <c r="J2" s="259" t="s">
        <v>269</v>
      </c>
      <c r="K2" s="261"/>
      <c r="L2" s="261"/>
      <c r="N2" s="178" t="s">
        <v>266</v>
      </c>
    </row>
    <row r="3" spans="2:17">
      <c r="B3" s="64"/>
      <c r="C3" s="64"/>
      <c r="D3" s="64"/>
      <c r="E3" s="64"/>
      <c r="F3" s="64"/>
      <c r="G3" s="64"/>
      <c r="H3" s="64"/>
      <c r="J3" s="261"/>
      <c r="K3" s="261"/>
      <c r="L3" s="261"/>
      <c r="N3" s="178" t="s">
        <v>364</v>
      </c>
    </row>
    <row r="4" spans="2:17">
      <c r="B4" s="83"/>
      <c r="C4" s="64" t="s">
        <v>173</v>
      </c>
      <c r="D4" s="64"/>
      <c r="E4" s="230">
        <v>0</v>
      </c>
      <c r="F4" s="64" t="s">
        <v>3</v>
      </c>
      <c r="G4" s="64"/>
      <c r="H4" s="64"/>
      <c r="J4" s="261"/>
      <c r="K4" s="261"/>
      <c r="L4" s="261"/>
    </row>
    <row r="5" spans="2:17">
      <c r="B5" s="83"/>
      <c r="C5" s="64" t="s">
        <v>174</v>
      </c>
      <c r="D5" s="64"/>
      <c r="E5" s="94">
        <f>vannmengde</f>
        <v>0</v>
      </c>
      <c r="F5" s="64"/>
      <c r="G5" s="64"/>
      <c r="H5" s="64"/>
      <c r="J5" s="261"/>
      <c r="K5" s="261"/>
      <c r="L5" s="261"/>
    </row>
    <row r="6" spans="2:17">
      <c r="B6" s="83"/>
      <c r="C6" s="64"/>
      <c r="D6" s="64"/>
      <c r="E6" s="64"/>
      <c r="F6" s="64"/>
      <c r="G6" s="64"/>
      <c r="H6" s="64"/>
      <c r="J6" s="261"/>
      <c r="K6" s="261"/>
      <c r="L6" s="261"/>
    </row>
    <row r="7" spans="2:17">
      <c r="B7" s="83"/>
      <c r="C7" s="64" t="s">
        <v>165</v>
      </c>
      <c r="D7" s="64"/>
      <c r="E7" s="235" t="s">
        <v>0</v>
      </c>
      <c r="F7" s="64"/>
      <c r="G7" s="64"/>
      <c r="H7" s="64"/>
      <c r="J7" s="261"/>
      <c r="K7" s="261"/>
      <c r="L7" s="261"/>
      <c r="P7" s="178" t="s">
        <v>130</v>
      </c>
      <c r="Q7" s="185">
        <v>15</v>
      </c>
    </row>
    <row r="8" spans="2:17" ht="12.75" customHeight="1">
      <c r="B8" s="83"/>
      <c r="C8" s="64" t="s">
        <v>169</v>
      </c>
      <c r="D8" s="64"/>
      <c r="E8" s="231">
        <v>70</v>
      </c>
      <c r="F8" s="64" t="s">
        <v>171</v>
      </c>
      <c r="G8" s="64"/>
      <c r="H8" s="64"/>
      <c r="J8" s="261"/>
      <c r="K8" s="261"/>
      <c r="L8" s="261"/>
      <c r="P8" s="178" t="s">
        <v>131</v>
      </c>
      <c r="Q8" s="185">
        <v>20</v>
      </c>
    </row>
    <row r="9" spans="2:17" ht="12.75" customHeight="1">
      <c r="B9" s="83"/>
      <c r="C9" s="109" t="s">
        <v>366</v>
      </c>
      <c r="D9" s="64"/>
      <c r="E9" s="231">
        <v>60</v>
      </c>
      <c r="F9" s="109" t="s">
        <v>171</v>
      </c>
      <c r="G9" s="64"/>
      <c r="H9" s="64"/>
      <c r="J9" s="261"/>
      <c r="K9" s="261"/>
      <c r="L9" s="261"/>
      <c r="Q9" s="185"/>
    </row>
    <row r="10" spans="2:17">
      <c r="B10" s="83"/>
      <c r="C10" s="109" t="s">
        <v>265</v>
      </c>
      <c r="D10" s="64"/>
      <c r="E10" s="232" t="s">
        <v>266</v>
      </c>
      <c r="F10" s="64"/>
      <c r="G10" s="64"/>
      <c r="H10" s="64"/>
      <c r="J10" s="261"/>
      <c r="K10" s="261"/>
      <c r="L10" s="261"/>
      <c r="Q10" s="185"/>
    </row>
    <row r="11" spans="2:17">
      <c r="B11" s="83"/>
      <c r="C11" s="64" t="s">
        <v>170</v>
      </c>
      <c r="D11" s="64"/>
      <c r="E11" s="102">
        <f>ekspansjon</f>
        <v>3</v>
      </c>
      <c r="F11" s="64" t="s">
        <v>3</v>
      </c>
      <c r="G11" s="64"/>
      <c r="H11" s="64"/>
      <c r="J11" s="261"/>
      <c r="K11" s="261"/>
      <c r="L11" s="261"/>
      <c r="P11" s="178" t="s">
        <v>132</v>
      </c>
      <c r="Q11" s="185">
        <v>25</v>
      </c>
    </row>
    <row r="12" spans="2:17">
      <c r="B12" s="83"/>
      <c r="C12" s="64" t="s">
        <v>155</v>
      </c>
      <c r="D12" s="64"/>
      <c r="E12" s="231">
        <v>10</v>
      </c>
      <c r="F12" s="64" t="s">
        <v>57</v>
      </c>
      <c r="G12" s="64"/>
      <c r="H12" s="64"/>
      <c r="J12" s="261"/>
      <c r="K12" s="261"/>
      <c r="L12" s="261"/>
      <c r="P12" s="178" t="s">
        <v>0</v>
      </c>
      <c r="Q12" s="185">
        <v>30</v>
      </c>
    </row>
    <row r="13" spans="2:17">
      <c r="B13" s="83"/>
      <c r="C13" s="64" t="s">
        <v>133</v>
      </c>
      <c r="D13" s="64"/>
      <c r="E13" s="231">
        <v>30</v>
      </c>
      <c r="F13" s="64" t="s">
        <v>57</v>
      </c>
      <c r="G13" s="64"/>
      <c r="H13" s="64"/>
      <c r="J13" s="261"/>
      <c r="K13" s="261"/>
      <c r="L13" s="261"/>
      <c r="P13" s="178" t="s">
        <v>190</v>
      </c>
      <c r="Q13" s="185">
        <v>35</v>
      </c>
    </row>
    <row r="14" spans="2:17">
      <c r="B14" s="83"/>
      <c r="C14" s="64" t="s">
        <v>168</v>
      </c>
      <c r="D14" s="64"/>
      <c r="E14" s="64">
        <f>E12+sikkstatisk</f>
        <v>12</v>
      </c>
      <c r="F14" s="64" t="s">
        <v>57</v>
      </c>
      <c r="G14" s="64"/>
      <c r="H14" s="64"/>
      <c r="J14" s="261"/>
      <c r="K14" s="261"/>
      <c r="L14" s="261"/>
      <c r="Q14" s="185">
        <v>40</v>
      </c>
    </row>
    <row r="15" spans="2:17">
      <c r="B15" s="83"/>
      <c r="C15" s="64"/>
      <c r="D15" s="64"/>
      <c r="E15" s="64"/>
      <c r="F15" s="64"/>
      <c r="G15" s="64"/>
      <c r="H15" s="64"/>
      <c r="Q15" s="185">
        <v>45</v>
      </c>
    </row>
    <row r="16" spans="2:17">
      <c r="B16" s="83"/>
      <c r="C16" s="68" t="s">
        <v>109</v>
      </c>
      <c r="D16" s="69"/>
      <c r="E16" s="69"/>
      <c r="F16" s="69"/>
      <c r="G16" s="70"/>
      <c r="H16" s="64"/>
      <c r="J16" s="259" t="s">
        <v>433</v>
      </c>
      <c r="K16" s="260"/>
      <c r="L16" s="260"/>
      <c r="Q16" s="185">
        <v>50</v>
      </c>
    </row>
    <row r="17" spans="2:17">
      <c r="B17" s="83"/>
      <c r="C17" s="71"/>
      <c r="D17" s="72" t="s">
        <v>134</v>
      </c>
      <c r="E17" s="10">
        <f>((E13-sikkblåseventil)+10-(E12+(10+sikkstatisk)))/((E13-sikkblåseventil)+10)</f>
        <v>0.37142857142857144</v>
      </c>
      <c r="F17" s="72"/>
      <c r="G17" s="74"/>
      <c r="H17" s="64"/>
      <c r="J17" s="260"/>
      <c r="K17" s="260"/>
      <c r="L17" s="260"/>
      <c r="Q17" s="185">
        <v>54</v>
      </c>
    </row>
    <row r="18" spans="2:17">
      <c r="B18" s="83"/>
      <c r="C18" s="71"/>
      <c r="D18" s="72" t="s">
        <v>135</v>
      </c>
      <c r="E18" s="113">
        <f>IF(E11/E17&lt;400,E11/E17,IF(E17&lt;15%,"Anbefaler kompressor eller pumpekar pga trykkforhold",E11/E17))</f>
        <v>8.0769230769230766</v>
      </c>
      <c r="F18" s="72"/>
      <c r="G18" s="74"/>
      <c r="H18" s="64"/>
      <c r="J18" s="260"/>
      <c r="K18" s="260"/>
      <c r="L18" s="260"/>
      <c r="Q18" s="185">
        <v>60</v>
      </c>
    </row>
    <row r="19" spans="2:17" ht="39.6">
      <c r="B19" s="83"/>
      <c r="C19" s="71"/>
      <c r="D19" s="76" t="s">
        <v>172</v>
      </c>
      <c r="E19" s="103" t="str">
        <f>Ekspansjon!D16</f>
        <v>N 12</v>
      </c>
      <c r="F19" s="105" t="str">
        <f>Ekspansjon!F16</f>
        <v>REFLEX trykkekspansjonskar type N 12 / 1,5 dia 272 mm, høyde 315 mm, vekt 2,6kg. 
NRF nr. 840 06 58</v>
      </c>
      <c r="G19" s="78"/>
      <c r="H19" s="65"/>
      <c r="J19" s="260"/>
      <c r="K19" s="260"/>
      <c r="L19" s="260"/>
      <c r="N19" s="186"/>
    </row>
    <row r="20" spans="2:17">
      <c r="B20" s="83"/>
      <c r="C20" s="71"/>
      <c r="D20" s="72"/>
      <c r="E20" s="91"/>
      <c r="F20" s="77"/>
      <c r="G20" s="78"/>
      <c r="H20" s="65"/>
      <c r="J20" s="260"/>
      <c r="K20" s="260"/>
      <c r="L20" s="260"/>
      <c r="N20" s="186"/>
    </row>
    <row r="21" spans="2:17">
      <c r="B21" s="83"/>
      <c r="C21" s="79"/>
      <c r="D21" s="80" t="s">
        <v>129</v>
      </c>
      <c r="E21" s="92"/>
      <c r="F21" s="81" t="str">
        <f>Ekspansjon!F17</f>
        <v>3 / 4 '' serviceventil for ekspansjonskar med avtapping. NRF nr. 840 08 15</v>
      </c>
      <c r="G21" s="82"/>
      <c r="H21" s="66"/>
      <c r="J21" s="260"/>
      <c r="K21" s="260"/>
      <c r="L21" s="260"/>
      <c r="N21" s="187"/>
    </row>
    <row r="22" spans="2:17">
      <c r="B22" s="83"/>
      <c r="C22" s="64"/>
      <c r="D22" s="64"/>
      <c r="E22" s="93"/>
      <c r="F22" s="67"/>
      <c r="G22" s="67"/>
      <c r="H22" s="67"/>
      <c r="N22" s="188"/>
    </row>
    <row r="23" spans="2:17">
      <c r="B23" s="83"/>
      <c r="C23" s="68" t="s">
        <v>76</v>
      </c>
      <c r="D23" s="69"/>
      <c r="E23" s="89"/>
      <c r="F23" s="84"/>
      <c r="G23" s="85"/>
      <c r="H23" s="67"/>
      <c r="J23" s="259" t="s">
        <v>362</v>
      </c>
      <c r="K23" s="260"/>
      <c r="L23" s="260"/>
      <c r="N23" s="188"/>
    </row>
    <row r="24" spans="2:17" ht="145.19999999999999">
      <c r="B24" s="83"/>
      <c r="C24" s="71"/>
      <c r="D24" s="76" t="s">
        <v>136</v>
      </c>
      <c r="E24" s="103" t="str">
        <f>Ekspansjon!D21</f>
        <v>Reflexomat 200</v>
      </c>
      <c r="F24" s="173" t="str">
        <f>Ekspansjon!F21</f>
        <v>REFLEXOMAT ekspansjonskar, type RG  200, komplett for vertikal montasje og med utskiftbar membran.
NRF nr. 840 05 51
Dimensjoner:
volum         200 liter
diameter     634 mm
høyde        1480 mm
vekt             58 kg
driftstemp.  110oC
anslutning    R1”</v>
      </c>
      <c r="G24" s="87"/>
      <c r="H24" s="66"/>
      <c r="J24" s="260"/>
      <c r="K24" s="260"/>
      <c r="L24" s="260"/>
      <c r="N24" s="187"/>
    </row>
    <row r="25" spans="2:17">
      <c r="B25" s="83"/>
      <c r="C25" s="71"/>
      <c r="D25" s="76"/>
      <c r="E25" s="90"/>
      <c r="F25" s="86"/>
      <c r="G25" s="87"/>
      <c r="H25" s="66"/>
      <c r="J25" s="260"/>
      <c r="K25" s="260"/>
      <c r="L25" s="260"/>
      <c r="N25" s="187"/>
    </row>
    <row r="26" spans="2:17" ht="106.5" customHeight="1">
      <c r="B26" s="83"/>
      <c r="C26" s="71"/>
      <c r="D26" s="76" t="s">
        <v>137</v>
      </c>
      <c r="E26" s="177" t="str">
        <f>IF(Effekt=0,"husk å legge inn kjeleeffekt under",Ekspansjon!D22)</f>
        <v>Kompressor RS90</v>
      </c>
      <c r="F26" s="173" t="str">
        <f>Ekspansjon!F22</f>
        <v>RS 90/1 styreenhet med en kompressor påmontert på tank. 
* sikkerhetsventil 3/8'' - 6.0 bar for luftsiden
* hydraulisk/elektronisk vektcelle for vanninnhold.
* styreenheten leveres med potensialfrie kontakter for overføring av felles feilsignal for ''lavt'' og  ''høyt'' vann-nivå i tank samt ''kompressorfeil'', videre med konstant digital visning av systemtrykk i bar og vannivå i %
Uttak for eventuell senere tilkobling av automatisk vannpåfylling</v>
      </c>
      <c r="G26" s="87"/>
      <c r="H26" s="66"/>
      <c r="J26" s="260"/>
      <c r="K26" s="260"/>
      <c r="L26" s="260"/>
      <c r="N26" s="187"/>
    </row>
    <row r="27" spans="2:17">
      <c r="B27" s="83"/>
      <c r="C27" s="71"/>
      <c r="D27" s="72"/>
      <c r="E27" s="72"/>
      <c r="F27" s="72"/>
      <c r="G27" s="74"/>
      <c r="H27" s="64"/>
      <c r="J27" s="260"/>
      <c r="K27" s="260"/>
      <c r="L27" s="260"/>
    </row>
    <row r="28" spans="2:17">
      <c r="B28" s="83"/>
      <c r="C28" s="79"/>
      <c r="D28" s="80" t="s">
        <v>138</v>
      </c>
      <c r="E28" s="80"/>
      <c r="F28" s="80"/>
      <c r="G28" s="88"/>
      <c r="H28" s="64"/>
      <c r="J28" s="260"/>
      <c r="K28" s="260"/>
      <c r="L28" s="260"/>
    </row>
    <row r="29" spans="2:17">
      <c r="B29" s="83"/>
      <c r="C29" s="64"/>
      <c r="D29" s="64"/>
      <c r="E29" s="64"/>
      <c r="F29" s="64"/>
      <c r="G29" s="64"/>
      <c r="H29" s="64"/>
    </row>
    <row r="30" spans="2:17">
      <c r="B30" s="83"/>
      <c r="C30" s="68" t="s">
        <v>304</v>
      </c>
      <c r="D30" s="176"/>
      <c r="E30" s="69"/>
      <c r="F30" s="69"/>
      <c r="G30" s="70"/>
      <c r="H30" s="64"/>
      <c r="J30" s="259" t="s">
        <v>363</v>
      </c>
      <c r="K30" s="260"/>
      <c r="L30" s="260"/>
    </row>
    <row r="31" spans="2:17" ht="118.8">
      <c r="B31" s="83"/>
      <c r="C31" s="71"/>
      <c r="D31" s="132" t="s">
        <v>136</v>
      </c>
      <c r="E31" s="103" t="str">
        <f>Ekspansjon!D24</f>
        <v>Variomat 200</v>
      </c>
      <c r="F31" s="173" t="str">
        <f>Ekspansjon!F24</f>
        <v>Variomat ekspansjonskar, type VG  200, komplett for vertikal montasje og med utskiftbar membran.
Dimensjoner:
volum         200 liter
diameter     634 mm
høyde        1060 mm
vekt             41,4 kg
anslutning    G1''</v>
      </c>
      <c r="G31" s="74"/>
      <c r="H31" s="64"/>
      <c r="J31" s="260"/>
      <c r="K31" s="260"/>
      <c r="L31" s="260"/>
    </row>
    <row r="32" spans="2:17" ht="126.75" customHeight="1">
      <c r="B32" s="83"/>
      <c r="C32" s="71"/>
      <c r="D32" s="132" t="s">
        <v>308</v>
      </c>
      <c r="E32" s="177" t="str">
        <f>IF(Effekt=0,"husk å legge inn  kjeleeffekt under",Ekspansjon!D25)</f>
        <v>VS1</v>
      </c>
      <c r="F32" s="173" t="str">
        <f>Ekspansjon!F25</f>
        <v>Styreautomatikk med en pumpe for plassering ved siden av tank, med potensialfrie kontakter for overføring  av felles feilsignal for "lavt" og "høyt" vannivå i tank samt "pumpefeill", videre med konstant digital visning av systemtrykk i bar og vannivå i %
·hydraulisk/elektronisk vektcelle for vanninnhold.
·uttak for eventuell senere tilkobling av automatisk vannpåfylling.
Maks. 10 bar arbeidstrykk.</v>
      </c>
      <c r="G32" s="74"/>
      <c r="H32" s="64"/>
      <c r="J32" s="260"/>
      <c r="K32" s="260"/>
      <c r="L32" s="260"/>
    </row>
    <row r="33" spans="2:17">
      <c r="B33" s="83"/>
      <c r="C33" s="71"/>
      <c r="D33" s="196" t="s">
        <v>397</v>
      </c>
      <c r="E33" s="91" t="str">
        <f>Ekspansjon!D37</f>
        <v>DE 80</v>
      </c>
      <c r="F33" s="72" t="str">
        <f>Ekspansjon!F37</f>
        <v>Reflex Refix DE 80 liter. 10 bar</v>
      </c>
      <c r="G33" s="74"/>
      <c r="H33" s="64"/>
      <c r="J33" s="260"/>
      <c r="K33" s="260"/>
      <c r="L33" s="260"/>
    </row>
    <row r="34" spans="2:17" ht="36" customHeight="1">
      <c r="B34" s="83"/>
      <c r="C34" s="79"/>
      <c r="D34" s="80" t="s">
        <v>138</v>
      </c>
      <c r="E34" s="80"/>
      <c r="F34" s="80"/>
      <c r="G34" s="88"/>
      <c r="H34" s="64"/>
      <c r="J34" s="260"/>
      <c r="K34" s="260"/>
      <c r="L34" s="260"/>
    </row>
    <row r="35" spans="2:17">
      <c r="B35" s="83"/>
      <c r="C35" s="64"/>
      <c r="D35" s="64"/>
      <c r="E35" s="64"/>
      <c r="F35" s="64"/>
      <c r="G35" s="64"/>
      <c r="H35" s="64"/>
    </row>
    <row r="36" spans="2:17">
      <c r="B36" s="83"/>
      <c r="C36" s="64"/>
      <c r="D36" s="64"/>
      <c r="E36" s="64"/>
      <c r="F36" s="64"/>
      <c r="G36" s="64"/>
      <c r="H36" s="64"/>
    </row>
    <row r="37" spans="2:17">
      <c r="B37" s="83"/>
      <c r="C37" s="68" t="s">
        <v>93</v>
      </c>
      <c r="D37" s="174"/>
      <c r="E37" s="89" t="s">
        <v>175</v>
      </c>
      <c r="F37" s="69"/>
      <c r="G37" s="70"/>
      <c r="H37" s="64"/>
    </row>
    <row r="38" spans="2:17">
      <c r="B38" s="83"/>
      <c r="C38" s="71"/>
      <c r="D38" s="72" t="s">
        <v>89</v>
      </c>
      <c r="E38" s="233">
        <v>1100</v>
      </c>
      <c r="F38" s="111" t="str">
        <f>IF(E38=0,"",Ekspansjon!J28)</f>
        <v>2 stk.1 1/2'' sikkerhetsventil med kapasitet 678 kW per ventil og 3 bar blåsetrykk NRF 8046002</v>
      </c>
      <c r="G38" s="74"/>
      <c r="H38" s="64"/>
    </row>
    <row r="39" spans="2:17">
      <c r="B39" s="83"/>
      <c r="C39" s="71"/>
      <c r="D39" s="72" t="s">
        <v>90</v>
      </c>
      <c r="E39" s="233"/>
      <c r="F39" s="111" t="str">
        <f>IF(E39=0,"",Ekspansjon!J29)</f>
        <v/>
      </c>
      <c r="G39" s="74"/>
      <c r="H39" s="64"/>
    </row>
    <row r="40" spans="2:17">
      <c r="B40" s="83"/>
      <c r="C40" s="71"/>
      <c r="D40" s="72" t="s">
        <v>91</v>
      </c>
      <c r="E40" s="233"/>
      <c r="F40" s="111" t="str">
        <f>IF(E40=0,"",Ekspansjon!J30)</f>
        <v/>
      </c>
      <c r="G40" s="74"/>
      <c r="H40" s="64"/>
    </row>
    <row r="41" spans="2:17">
      <c r="B41" s="83"/>
      <c r="C41" s="71"/>
      <c r="D41" s="72" t="s">
        <v>92</v>
      </c>
      <c r="E41" s="233"/>
      <c r="F41" s="111" t="str">
        <f>IF(E41=0,"",Ekspansjon!J31)</f>
        <v/>
      </c>
      <c r="G41" s="74"/>
      <c r="H41" s="64"/>
    </row>
    <row r="42" spans="2:17">
      <c r="B42" s="83"/>
      <c r="C42" s="79"/>
      <c r="D42" s="80"/>
      <c r="E42" s="80"/>
      <c r="F42" s="112" t="str">
        <f>IF(E42=0,"",Ekspansjon!J32)</f>
        <v/>
      </c>
      <c r="G42" s="88"/>
      <c r="H42" s="64"/>
    </row>
    <row r="43" spans="2:17">
      <c r="B43" s="83"/>
      <c r="C43" s="64"/>
      <c r="D43" s="64"/>
      <c r="E43" s="64"/>
      <c r="F43" s="64"/>
      <c r="G43" s="64"/>
      <c r="H43" s="64"/>
    </row>
    <row r="44" spans="2:17">
      <c r="B44" s="180"/>
      <c r="C44" s="121" t="s">
        <v>367</v>
      </c>
      <c r="D44" s="181"/>
      <c r="E44" s="181"/>
      <c r="F44" s="181"/>
      <c r="G44" s="182"/>
      <c r="H44" s="180"/>
      <c r="J44" s="262" t="s">
        <v>379</v>
      </c>
      <c r="K44" s="263"/>
      <c r="L44" s="263"/>
    </row>
    <row r="45" spans="2:17" ht="57.75" customHeight="1">
      <c r="B45" s="180"/>
      <c r="C45" s="183"/>
      <c r="D45" s="193" t="str">
        <f>IF(E9&gt;70,"På grunn av høy returtemperatur anbefales det å installere en forkjøler foran ekspansjonskaret for å opprettholde karets levetid","Ingen behov for forkjøler")</f>
        <v>Ingen behov for forkjøler</v>
      </c>
      <c r="E45" s="195" t="str">
        <f>IF(E9&gt;70,Q46,"")</f>
        <v/>
      </c>
      <c r="F45" s="194"/>
      <c r="G45" s="184"/>
      <c r="H45" s="180"/>
      <c r="J45" s="263"/>
      <c r="K45" s="263"/>
      <c r="L45" s="263"/>
    </row>
    <row r="46" spans="2:17">
      <c r="B46" s="180"/>
      <c r="C46" s="180"/>
      <c r="D46" s="180"/>
      <c r="E46" s="180"/>
      <c r="F46" s="180"/>
      <c r="G46" s="180"/>
      <c r="H46" s="180"/>
      <c r="O46" s="189" t="e">
        <f>VLOOKUP(E9,N48:O78,2)</f>
        <v>#N/A</v>
      </c>
      <c r="P46" s="190" t="e">
        <f>O46*E11</f>
        <v>#N/A</v>
      </c>
      <c r="Q46" s="178" t="e">
        <f>VLOOKUP(P46,P49:Q59,2)</f>
        <v>#N/A</v>
      </c>
    </row>
    <row r="47" spans="2:17">
      <c r="N47" s="178" t="s">
        <v>367</v>
      </c>
      <c r="O47" s="178" t="s">
        <v>368</v>
      </c>
    </row>
    <row r="48" spans="2:17">
      <c r="N48" s="178">
        <v>70</v>
      </c>
      <c r="O48" s="191">
        <v>0</v>
      </c>
    </row>
    <row r="49" spans="14:17">
      <c r="N49" s="178">
        <v>72.5</v>
      </c>
      <c r="O49" s="191">
        <v>0.02</v>
      </c>
      <c r="P49" s="178">
        <v>0</v>
      </c>
      <c r="Q49" s="178" t="s">
        <v>369</v>
      </c>
    </row>
    <row r="50" spans="14:17">
      <c r="N50" s="178">
        <v>75</v>
      </c>
      <c r="O50" s="192">
        <v>4.2000000000000003E-2</v>
      </c>
      <c r="P50" s="178">
        <v>20</v>
      </c>
      <c r="Q50" s="178" t="s">
        <v>370</v>
      </c>
    </row>
    <row r="51" spans="14:17">
      <c r="N51" s="178">
        <v>77.5</v>
      </c>
      <c r="O51" s="192">
        <v>6.2E-2</v>
      </c>
      <c r="P51" s="178">
        <v>60</v>
      </c>
      <c r="Q51" s="178" t="s">
        <v>371</v>
      </c>
    </row>
    <row r="52" spans="14:17">
      <c r="N52" s="178">
        <v>80</v>
      </c>
      <c r="O52" s="191">
        <v>0.08</v>
      </c>
      <c r="P52" s="178">
        <v>200</v>
      </c>
      <c r="Q52" s="178" t="s">
        <v>378</v>
      </c>
    </row>
    <row r="53" spans="14:17">
      <c r="N53" s="178">
        <v>82.5</v>
      </c>
      <c r="O53" s="192">
        <v>9.5000000000000001E-2</v>
      </c>
      <c r="P53" s="178">
        <v>300</v>
      </c>
      <c r="Q53" s="178" t="s">
        <v>372</v>
      </c>
    </row>
    <row r="54" spans="14:17">
      <c r="N54" s="178">
        <v>85</v>
      </c>
      <c r="O54" s="192">
        <v>0.105</v>
      </c>
      <c r="P54" s="178">
        <v>500</v>
      </c>
      <c r="Q54" s="178" t="s">
        <v>373</v>
      </c>
    </row>
    <row r="55" spans="14:17">
      <c r="N55" s="178">
        <v>87.5</v>
      </c>
      <c r="O55" s="191">
        <v>0.12</v>
      </c>
      <c r="P55" s="178">
        <v>750</v>
      </c>
      <c r="Q55" s="178" t="s">
        <v>374</v>
      </c>
    </row>
    <row r="56" spans="14:17">
      <c r="N56" s="178">
        <v>90</v>
      </c>
      <c r="O56" s="192">
        <v>0.13800000000000001</v>
      </c>
      <c r="P56" s="178">
        <v>1000</v>
      </c>
      <c r="Q56" s="178" t="s">
        <v>375</v>
      </c>
    </row>
    <row r="57" spans="14:17">
      <c r="N57" s="178">
        <v>92.5</v>
      </c>
      <c r="O57" s="192">
        <v>0.14499999999999999</v>
      </c>
      <c r="P57" s="178">
        <v>1500</v>
      </c>
      <c r="Q57" s="178" t="s">
        <v>376</v>
      </c>
    </row>
    <row r="58" spans="14:17">
      <c r="N58" s="178">
        <v>95</v>
      </c>
      <c r="O58" s="191">
        <v>0.16</v>
      </c>
      <c r="P58" s="178">
        <v>2000</v>
      </c>
      <c r="Q58" s="178" t="s">
        <v>377</v>
      </c>
    </row>
    <row r="59" spans="14:17">
      <c r="N59" s="178">
        <v>97.5</v>
      </c>
      <c r="O59" s="191">
        <v>0.17</v>
      </c>
      <c r="P59" s="178">
        <v>3000</v>
      </c>
      <c r="Q59" s="178" t="s">
        <v>177</v>
      </c>
    </row>
    <row r="60" spans="14:17">
      <c r="N60" s="178">
        <v>100</v>
      </c>
      <c r="O60" s="191">
        <v>0.18</v>
      </c>
    </row>
    <row r="61" spans="14:17">
      <c r="N61" s="178">
        <v>102.5</v>
      </c>
      <c r="O61" s="192">
        <v>0.192</v>
      </c>
    </row>
    <row r="62" spans="14:17">
      <c r="N62" s="178">
        <v>105</v>
      </c>
      <c r="O62" s="192">
        <v>0.20200000000000001</v>
      </c>
    </row>
    <row r="63" spans="14:17">
      <c r="N63" s="178">
        <v>107.5</v>
      </c>
      <c r="O63" s="192">
        <v>0.215</v>
      </c>
    </row>
    <row r="64" spans="14:17">
      <c r="N64" s="178">
        <v>110</v>
      </c>
      <c r="O64" s="191">
        <v>0.22</v>
      </c>
    </row>
    <row r="65" spans="14:15">
      <c r="N65" s="178">
        <v>112.5</v>
      </c>
      <c r="O65" s="192">
        <v>0.23400000000000001</v>
      </c>
    </row>
    <row r="66" spans="14:15">
      <c r="N66" s="178">
        <v>115</v>
      </c>
      <c r="O66" s="191">
        <v>0.24</v>
      </c>
    </row>
    <row r="67" spans="14:15">
      <c r="N67" s="178">
        <v>117.5</v>
      </c>
      <c r="O67" s="191">
        <v>0.25</v>
      </c>
    </row>
    <row r="68" spans="14:15">
      <c r="N68" s="178">
        <v>120</v>
      </c>
      <c r="O68" s="192">
        <v>0.25800000000000001</v>
      </c>
    </row>
    <row r="69" spans="14:15">
      <c r="N69" s="178">
        <v>122.5</v>
      </c>
      <c r="O69" s="192">
        <v>0.26500000000000001</v>
      </c>
    </row>
    <row r="70" spans="14:15">
      <c r="N70" s="178">
        <v>125</v>
      </c>
      <c r="O70" s="192">
        <v>0.27200000000000002</v>
      </c>
    </row>
    <row r="71" spans="14:15">
      <c r="N71" s="178">
        <v>127.5</v>
      </c>
      <c r="O71" s="191">
        <v>0.28000000000000003</v>
      </c>
    </row>
    <row r="72" spans="14:15">
      <c r="N72" s="178">
        <v>130</v>
      </c>
      <c r="O72" s="192">
        <v>0.28799999999999998</v>
      </c>
    </row>
    <row r="73" spans="14:15">
      <c r="N73" s="178">
        <v>132.5</v>
      </c>
      <c r="O73" s="192">
        <v>0.29199999999999998</v>
      </c>
    </row>
    <row r="74" spans="14:15">
      <c r="N74" s="178">
        <v>135</v>
      </c>
      <c r="O74" s="191">
        <v>0.3</v>
      </c>
    </row>
    <row r="75" spans="14:15">
      <c r="N75" s="178">
        <v>137.5</v>
      </c>
      <c r="O75" s="192">
        <v>0.308</v>
      </c>
    </row>
    <row r="76" spans="14:15">
      <c r="N76" s="178">
        <v>140</v>
      </c>
      <c r="O76" s="192">
        <v>0.317</v>
      </c>
    </row>
    <row r="77" spans="14:15">
      <c r="N77" s="178">
        <v>142.5</v>
      </c>
      <c r="O77" s="191">
        <v>0.32</v>
      </c>
    </row>
    <row r="78" spans="14:15">
      <c r="N78" s="178">
        <v>145</v>
      </c>
      <c r="O78" s="178" t="s">
        <v>177</v>
      </c>
    </row>
  </sheetData>
  <sheetProtection sheet="1" objects="1" scenarios="1"/>
  <mergeCells count="5">
    <mergeCell ref="J30:L34"/>
    <mergeCell ref="J2:L14"/>
    <mergeCell ref="J16:L21"/>
    <mergeCell ref="J23:L28"/>
    <mergeCell ref="J44:L45"/>
  </mergeCells>
  <phoneticPr fontId="0" type="noConversion"/>
  <dataValidations count="4">
    <dataValidation type="list" allowBlank="1" showInputMessage="1" showErrorMessage="1" sqref="E7" xr:uid="{00000000-0002-0000-0100-000000000000}">
      <formula1>$P$7:$P$13</formula1>
    </dataValidation>
    <dataValidation type="list" allowBlank="1" showInputMessage="1" showErrorMessage="1" sqref="E13" xr:uid="{00000000-0002-0000-0100-000001000000}">
      <formula1>$Q$7:$Q$18</formula1>
    </dataValidation>
    <dataValidation type="list" allowBlank="1" showInputMessage="1" showErrorMessage="1" sqref="E10" xr:uid="{00000000-0002-0000-0100-000002000000}">
      <formula1>$N$2:$N$3</formula1>
    </dataValidation>
    <dataValidation allowBlank="1" showInputMessage="1" showErrorMessage="1" promptTitle="Statisk trykk" prompt="SGP anbefaler aldri lavere statisk høyde enn 8 mvs (for å få 1 bar ladetrykk på karet). Årsaken til dette er at man ved lavere trykk raskt kan få vakuum på sirkulasjonspumpen (og dermed kavitasjon)." sqref="E12" xr:uid="{00000000-0002-0000-0100-000003000000}"/>
  </dataValidations>
  <pageMargins left="0.78740157499999996" right="0.78740157499999996" top="0.984251969" bottom="0.984251969" header="0.5" footer="0.5"/>
  <pageSetup paperSize="9" scale="47" orientation="landscape" verticalDpi="12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2"/>
  <dimension ref="A2:Q70"/>
  <sheetViews>
    <sheetView tabSelected="1" workbookViewId="0">
      <selection activeCell="E17" sqref="E17"/>
    </sheetView>
  </sheetViews>
  <sheetFormatPr baseColWidth="10" defaultColWidth="11.44140625" defaultRowHeight="13.2"/>
  <cols>
    <col min="1" max="1" width="3.33203125" style="59" customWidth="1"/>
    <col min="2" max="2" width="9.33203125" style="59" customWidth="1"/>
    <col min="3" max="3" width="2.6640625" style="59" customWidth="1"/>
    <col min="4" max="4" width="36.88671875" style="59" customWidth="1"/>
    <col min="5" max="5" width="19.44140625" style="59" customWidth="1"/>
    <col min="6" max="6" width="64" style="59" customWidth="1"/>
    <col min="7" max="7" width="18.6640625" style="59" customWidth="1"/>
    <col min="8" max="8" width="11.44140625" style="59"/>
    <col min="9" max="9" width="11.44140625" style="219"/>
    <col min="10" max="10" width="57.88671875" style="219" customWidth="1"/>
    <col min="11" max="17" width="11.44140625" style="219"/>
    <col min="18" max="16384" width="11.44140625" style="59"/>
  </cols>
  <sheetData>
    <row r="2" spans="2:17" ht="17.399999999999999">
      <c r="B2" s="83"/>
      <c r="C2" s="63" t="s">
        <v>483</v>
      </c>
      <c r="D2" s="64"/>
      <c r="E2" s="64"/>
      <c r="F2" s="64"/>
      <c r="G2" s="64"/>
      <c r="H2" s="64"/>
    </row>
    <row r="3" spans="2:17">
      <c r="B3" s="64"/>
      <c r="C3" s="64"/>
      <c r="D3" s="64"/>
      <c r="E3" s="64"/>
      <c r="F3" s="64"/>
      <c r="G3" s="64"/>
      <c r="H3" s="64"/>
    </row>
    <row r="4" spans="2:17">
      <c r="B4" s="83"/>
      <c r="C4" s="109" t="s">
        <v>484</v>
      </c>
      <c r="D4" s="64"/>
      <c r="E4" s="234">
        <v>10000</v>
      </c>
      <c r="F4" s="64" t="s">
        <v>3</v>
      </c>
      <c r="G4" s="64"/>
      <c r="H4" s="64"/>
    </row>
    <row r="5" spans="2:17">
      <c r="B5" s="83"/>
      <c r="C5" s="64"/>
      <c r="D5" s="64"/>
      <c r="E5" s="110">
        <f>E4</f>
        <v>10000</v>
      </c>
      <c r="F5" s="64"/>
      <c r="G5" s="64"/>
      <c r="H5" s="64"/>
    </row>
    <row r="6" spans="2:17">
      <c r="B6" s="83"/>
      <c r="C6" s="64"/>
      <c r="D6" s="64"/>
      <c r="E6" s="64"/>
      <c r="F6" s="64"/>
      <c r="G6" s="64"/>
      <c r="H6" s="64"/>
    </row>
    <row r="7" spans="2:17">
      <c r="B7" s="83"/>
      <c r="C7" s="64" t="s">
        <v>165</v>
      </c>
      <c r="D7" s="64"/>
      <c r="E7" s="93" t="s">
        <v>0</v>
      </c>
      <c r="F7" s="64"/>
      <c r="G7" s="64"/>
      <c r="H7" s="64"/>
      <c r="P7" s="225" t="s">
        <v>130</v>
      </c>
      <c r="Q7" s="226">
        <v>15</v>
      </c>
    </row>
    <row r="8" spans="2:17">
      <c r="B8" s="83"/>
      <c r="C8" s="64" t="s">
        <v>169</v>
      </c>
      <c r="D8" s="64"/>
      <c r="E8" s="231">
        <v>65</v>
      </c>
      <c r="F8" s="64" t="s">
        <v>171</v>
      </c>
      <c r="G8" s="64"/>
      <c r="H8" s="64"/>
      <c r="P8" s="225" t="s">
        <v>131</v>
      </c>
      <c r="Q8" s="226">
        <v>20</v>
      </c>
    </row>
    <row r="9" spans="2:17">
      <c r="B9" s="83"/>
      <c r="C9" s="64" t="s">
        <v>170</v>
      </c>
      <c r="D9" s="64"/>
      <c r="E9" s="40">
        <f>VLOOKUP('3-rørs system'!E8,Data!A2:F20,Ekspansjon!L7)*'3-rørs system'!E4</f>
        <v>199</v>
      </c>
      <c r="F9" s="64" t="s">
        <v>3</v>
      </c>
      <c r="G9" s="64"/>
      <c r="H9" s="64"/>
      <c r="P9" s="225" t="s">
        <v>132</v>
      </c>
      <c r="Q9" s="226">
        <v>25</v>
      </c>
    </row>
    <row r="10" spans="2:17">
      <c r="B10" s="83"/>
      <c r="C10" s="109" t="s">
        <v>224</v>
      </c>
      <c r="D10" s="64"/>
      <c r="E10" s="231">
        <v>55</v>
      </c>
      <c r="F10" s="64" t="s">
        <v>57</v>
      </c>
      <c r="G10" s="64"/>
      <c r="H10" s="64"/>
      <c r="P10" s="225" t="s">
        <v>0</v>
      </c>
      <c r="Q10" s="226">
        <v>30</v>
      </c>
    </row>
    <row r="11" spans="2:17">
      <c r="B11" s="83"/>
      <c r="C11" s="64" t="s">
        <v>133</v>
      </c>
      <c r="D11" s="64"/>
      <c r="E11" s="231">
        <v>90</v>
      </c>
      <c r="F11" s="64" t="s">
        <v>57</v>
      </c>
      <c r="G11" s="64"/>
      <c r="H11" s="64"/>
      <c r="P11" s="225" t="s">
        <v>190</v>
      </c>
      <c r="Q11" s="226">
        <v>35</v>
      </c>
    </row>
    <row r="12" spans="2:17">
      <c r="B12" s="83"/>
      <c r="C12" s="64" t="s">
        <v>168</v>
      </c>
      <c r="D12" s="64"/>
      <c r="E12" s="64">
        <f>E10-5</f>
        <v>50</v>
      </c>
      <c r="F12" s="64" t="s">
        <v>57</v>
      </c>
      <c r="G12" s="64"/>
      <c r="H12" s="64"/>
      <c r="P12" s="225"/>
      <c r="Q12" s="226">
        <v>40</v>
      </c>
    </row>
    <row r="13" spans="2:17">
      <c r="B13" s="83"/>
      <c r="C13" s="64"/>
      <c r="D13" s="64"/>
      <c r="E13" s="64"/>
      <c r="F13" s="64"/>
      <c r="G13" s="64"/>
      <c r="H13" s="64"/>
      <c r="P13" s="225"/>
      <c r="Q13" s="226">
        <v>45</v>
      </c>
    </row>
    <row r="14" spans="2:17">
      <c r="B14" s="83"/>
      <c r="C14" s="68" t="s">
        <v>223</v>
      </c>
      <c r="D14" s="69"/>
      <c r="E14" s="69"/>
      <c r="F14" s="69"/>
      <c r="G14" s="70"/>
      <c r="H14" s="64"/>
      <c r="P14" s="225"/>
      <c r="Q14" s="226">
        <v>50</v>
      </c>
    </row>
    <row r="15" spans="2:17">
      <c r="B15" s="83"/>
      <c r="C15" s="71"/>
      <c r="D15" s="72" t="s">
        <v>134</v>
      </c>
      <c r="E15" s="73">
        <f>((E11-E11*0.1)+10-(E12+10))/('3-rørs system'!E11-E11*0.1+10)</f>
        <v>0.34065934065934067</v>
      </c>
      <c r="F15" s="72"/>
      <c r="G15" s="74"/>
      <c r="H15" s="64"/>
      <c r="P15" s="225"/>
      <c r="Q15" s="226">
        <v>54</v>
      </c>
    </row>
    <row r="16" spans="2:17">
      <c r="B16" s="83"/>
      <c r="C16" s="71"/>
      <c r="D16" s="72" t="s">
        <v>135</v>
      </c>
      <c r="E16" s="75">
        <f>Ekspansjonbereder/E15</f>
        <v>584.16129032258061</v>
      </c>
      <c r="F16" s="72"/>
      <c r="G16" s="74"/>
      <c r="H16" s="64"/>
      <c r="P16" s="225"/>
      <c r="Q16" s="226">
        <v>60</v>
      </c>
    </row>
    <row r="17" spans="1:17" ht="39.6">
      <c r="B17" s="83"/>
      <c r="C17" s="71"/>
      <c r="D17" s="76" t="s">
        <v>172</v>
      </c>
      <c r="E17" s="103" t="str">
        <f>LOOKUP(E16,D46:E61)</f>
        <v>DT 600</v>
      </c>
      <c r="F17" s="105" t="str">
        <f>LOOKUP(E16,I47:J62)</f>
        <v>Reflex membran trykktank med fast membran med legionellasikring, type DT 600 Diameter 740 mm Høyde: 1475mm Vekt: 75 kg. Trykklasse PN 10 Anslutning: G 1 1/4</v>
      </c>
      <c r="G17" s="78"/>
      <c r="H17" s="65"/>
      <c r="I17" s="227"/>
      <c r="J17" s="227"/>
      <c r="K17" s="227"/>
      <c r="L17" s="227"/>
      <c r="M17" s="227"/>
      <c r="N17" s="227"/>
      <c r="P17" s="225"/>
      <c r="Q17" s="225"/>
    </row>
    <row r="18" spans="1:17">
      <c r="B18" s="83"/>
      <c r="C18" s="79"/>
      <c r="D18" s="80"/>
      <c r="E18" s="92"/>
      <c r="F18" s="81"/>
      <c r="G18" s="82"/>
      <c r="H18" s="66"/>
      <c r="I18" s="228"/>
      <c r="J18" s="228"/>
      <c r="K18" s="228"/>
      <c r="L18" s="228"/>
      <c r="M18" s="228"/>
      <c r="N18" s="228"/>
    </row>
    <row r="19" spans="1:17">
      <c r="B19" s="83"/>
      <c r="C19" s="64"/>
      <c r="D19" s="64"/>
      <c r="E19" s="93"/>
      <c r="F19" s="67"/>
      <c r="G19" s="67"/>
      <c r="H19" s="67"/>
      <c r="I19" s="222"/>
      <c r="J19" s="222"/>
      <c r="K19" s="222"/>
      <c r="L19" s="222"/>
      <c r="M19" s="222"/>
      <c r="N19" s="222"/>
    </row>
    <row r="20" spans="1:17">
      <c r="A20" s="219"/>
      <c r="B20" s="219"/>
      <c r="C20" s="220"/>
      <c r="D20" s="220"/>
      <c r="E20" s="216"/>
      <c r="F20" s="221"/>
      <c r="G20" s="221"/>
      <c r="H20" s="221"/>
      <c r="I20" s="222"/>
      <c r="J20" s="222"/>
      <c r="K20" s="222"/>
      <c r="L20" s="222"/>
      <c r="M20" s="222"/>
      <c r="N20" s="222"/>
    </row>
    <row r="21" spans="1:17">
      <c r="B21" s="83"/>
      <c r="C21" s="64"/>
      <c r="D21" s="64"/>
      <c r="E21" s="93"/>
      <c r="F21" s="67"/>
      <c r="G21" s="67"/>
      <c r="H21" s="67"/>
      <c r="I21" s="229"/>
      <c r="J21" s="229" t="s">
        <v>476</v>
      </c>
      <c r="K21" s="229" t="s">
        <v>477</v>
      </c>
      <c r="L21" s="106"/>
      <c r="M21" s="229"/>
      <c r="N21" s="229"/>
    </row>
    <row r="22" spans="1:17" ht="17.399999999999999">
      <c r="B22" s="83"/>
      <c r="C22" s="63" t="s">
        <v>468</v>
      </c>
      <c r="D22" s="64"/>
      <c r="E22" s="93"/>
      <c r="F22" s="67"/>
      <c r="G22" s="67"/>
      <c r="H22" s="67"/>
      <c r="I22" s="229">
        <v>0</v>
      </c>
      <c r="J22" s="229">
        <v>1.3</v>
      </c>
      <c r="K22" s="229" t="s">
        <v>473</v>
      </c>
      <c r="L22" s="106"/>
      <c r="M22" s="229"/>
      <c r="N22" s="229"/>
    </row>
    <row r="23" spans="1:17">
      <c r="B23" s="83"/>
      <c r="C23" s="64"/>
      <c r="D23" s="64"/>
      <c r="E23" s="93"/>
      <c r="F23" s="67"/>
      <c r="G23" s="67"/>
      <c r="H23" s="67"/>
      <c r="I23" s="229">
        <v>1.3</v>
      </c>
      <c r="J23" s="229">
        <v>2.2999999999999998</v>
      </c>
      <c r="K23" s="229" t="s">
        <v>475</v>
      </c>
      <c r="L23" s="106"/>
      <c r="M23" s="229"/>
      <c r="N23" s="229"/>
    </row>
    <row r="24" spans="1:17">
      <c r="B24" s="83"/>
      <c r="C24" s="109" t="s">
        <v>478</v>
      </c>
      <c r="D24" s="64"/>
      <c r="E24" s="93"/>
      <c r="F24" s="67"/>
      <c r="G24" s="67"/>
      <c r="H24" s="67"/>
      <c r="I24" s="229">
        <v>2.2999999999999998</v>
      </c>
      <c r="J24" s="229">
        <v>3.6</v>
      </c>
      <c r="K24" s="229" t="s">
        <v>472</v>
      </c>
      <c r="L24" s="106"/>
      <c r="M24" s="229"/>
      <c r="N24" s="229"/>
    </row>
    <row r="25" spans="1:17">
      <c r="B25" s="83"/>
      <c r="C25" s="64"/>
      <c r="D25" s="64"/>
      <c r="E25" s="93"/>
      <c r="F25" s="67"/>
      <c r="G25" s="67"/>
      <c r="H25" s="67"/>
      <c r="I25" s="229">
        <v>3.6</v>
      </c>
      <c r="J25" s="229">
        <v>5.8</v>
      </c>
      <c r="K25" s="229" t="s">
        <v>471</v>
      </c>
      <c r="L25" s="106"/>
      <c r="M25" s="229"/>
      <c r="N25" s="229"/>
    </row>
    <row r="26" spans="1:17" ht="15.6">
      <c r="B26" s="83"/>
      <c r="C26" s="109" t="s">
        <v>480</v>
      </c>
      <c r="D26" s="64"/>
      <c r="E26" s="235">
        <v>5</v>
      </c>
      <c r="F26" s="214" t="s">
        <v>469</v>
      </c>
      <c r="G26" s="67"/>
      <c r="H26" s="67"/>
      <c r="I26" s="229">
        <v>5.8</v>
      </c>
      <c r="J26" s="229">
        <v>9.1</v>
      </c>
      <c r="K26" s="229" t="s">
        <v>470</v>
      </c>
      <c r="L26" s="106"/>
      <c r="M26" s="229"/>
      <c r="N26" s="229"/>
    </row>
    <row r="27" spans="1:17">
      <c r="B27" s="83"/>
      <c r="C27" s="64"/>
      <c r="D27" s="64"/>
      <c r="E27" s="180"/>
      <c r="F27" s="67"/>
      <c r="G27" s="67"/>
      <c r="H27" s="67"/>
      <c r="I27" s="229">
        <v>9.1</v>
      </c>
      <c r="J27" s="229">
        <v>14</v>
      </c>
      <c r="K27" s="229" t="s">
        <v>474</v>
      </c>
      <c r="L27" s="106"/>
      <c r="M27" s="229"/>
      <c r="N27" s="229"/>
    </row>
    <row r="28" spans="1:17">
      <c r="B28" s="83"/>
      <c r="C28" s="64"/>
      <c r="D28" s="64"/>
      <c r="E28" s="224" t="str">
        <f>IF(E10&gt;60,"Ta kontakt med SGP for tilbud",VLOOKUP(E26,I22:K28,3))</f>
        <v>SYR Trykkred.ventil 315 1 1/4" 1.5-6.0 Bar 30°C(NRF 5630019)</v>
      </c>
      <c r="F28" s="67"/>
      <c r="G28" s="67"/>
      <c r="H28" s="67"/>
      <c r="I28" s="229">
        <v>14.01</v>
      </c>
      <c r="J28" s="229"/>
      <c r="K28" s="229" t="s">
        <v>479</v>
      </c>
      <c r="L28" s="229"/>
      <c r="M28" s="229"/>
      <c r="N28" s="229"/>
    </row>
    <row r="29" spans="1:17">
      <c r="B29" s="83"/>
      <c r="C29" s="64"/>
      <c r="D29" s="64"/>
      <c r="E29" s="93"/>
      <c r="F29" s="67"/>
      <c r="G29" s="67"/>
      <c r="H29" s="67"/>
      <c r="I29" s="222"/>
      <c r="J29" s="222"/>
      <c r="K29" s="222"/>
      <c r="L29" s="222"/>
      <c r="M29" s="222"/>
      <c r="N29" s="222"/>
    </row>
    <row r="30" spans="1:17">
      <c r="B30" s="83"/>
      <c r="C30" s="64"/>
      <c r="D30" s="64"/>
      <c r="E30" s="93"/>
      <c r="F30" s="67"/>
      <c r="G30" s="67"/>
      <c r="H30" s="67"/>
      <c r="I30" s="222"/>
      <c r="J30" s="222"/>
      <c r="K30" s="222"/>
      <c r="L30" s="222"/>
      <c r="M30" s="222"/>
      <c r="N30" s="222"/>
    </row>
    <row r="31" spans="1:17" s="219" customFormat="1">
      <c r="B31" s="180"/>
      <c r="C31" s="217"/>
      <c r="D31" s="217"/>
      <c r="E31" s="215"/>
      <c r="F31" s="218"/>
      <c r="G31" s="218"/>
      <c r="H31" s="218"/>
      <c r="I31" s="222"/>
      <c r="J31" s="222"/>
      <c r="K31" s="222"/>
      <c r="L31" s="222"/>
      <c r="M31" s="222"/>
      <c r="N31" s="222"/>
    </row>
    <row r="32" spans="1:17" s="219" customFormat="1">
      <c r="C32" s="220"/>
      <c r="D32" s="220"/>
      <c r="E32" s="216"/>
      <c r="F32" s="221"/>
      <c r="G32" s="221"/>
      <c r="H32" s="221"/>
      <c r="I32" s="222"/>
      <c r="J32" s="222"/>
      <c r="K32" s="222"/>
      <c r="L32" s="222"/>
      <c r="M32" s="222"/>
      <c r="N32" s="222"/>
    </row>
    <row r="33" spans="2:16" s="219" customFormat="1">
      <c r="C33" s="220"/>
      <c r="D33" s="220"/>
      <c r="E33" s="216"/>
      <c r="F33" s="221"/>
      <c r="G33" s="221"/>
      <c r="H33" s="221"/>
      <c r="I33" s="222"/>
      <c r="J33" s="222"/>
      <c r="K33" s="222"/>
      <c r="L33" s="222"/>
      <c r="M33" s="222"/>
      <c r="N33" s="222"/>
    </row>
    <row r="34" spans="2:16" s="219" customFormat="1">
      <c r="C34" s="220"/>
      <c r="D34" s="220"/>
      <c r="E34" s="216"/>
      <c r="F34" s="221"/>
      <c r="G34" s="221"/>
      <c r="H34" s="221"/>
      <c r="I34" s="222"/>
      <c r="J34" s="222"/>
      <c r="K34" s="222"/>
      <c r="L34" s="222"/>
      <c r="M34" s="222"/>
      <c r="N34" s="222"/>
    </row>
    <row r="35" spans="2:16" s="219" customFormat="1">
      <c r="C35" s="220"/>
      <c r="D35" s="220"/>
      <c r="E35" s="216"/>
      <c r="F35" s="221"/>
      <c r="G35" s="221"/>
      <c r="H35" s="221"/>
      <c r="I35" s="222"/>
      <c r="J35" s="222"/>
      <c r="K35" s="222"/>
      <c r="L35" s="222"/>
      <c r="M35" s="222"/>
      <c r="N35" s="222"/>
    </row>
    <row r="36" spans="2:16" s="219" customFormat="1">
      <c r="C36" s="220"/>
      <c r="D36" s="220"/>
      <c r="E36" s="216"/>
      <c r="F36" s="221"/>
      <c r="G36" s="221"/>
      <c r="H36" s="221"/>
      <c r="I36" s="222"/>
      <c r="J36" s="222"/>
      <c r="K36" s="222"/>
      <c r="L36" s="222"/>
      <c r="M36" s="222"/>
      <c r="N36" s="222"/>
    </row>
    <row r="37" spans="2:16" s="219" customFormat="1">
      <c r="C37" s="220"/>
      <c r="D37" s="220"/>
      <c r="E37" s="216"/>
      <c r="F37" s="221"/>
      <c r="G37" s="221"/>
      <c r="H37" s="221"/>
      <c r="I37" s="222"/>
      <c r="J37" s="222"/>
      <c r="K37" s="222"/>
      <c r="L37" s="222"/>
      <c r="M37" s="222"/>
      <c r="N37" s="222"/>
    </row>
    <row r="38" spans="2:16" s="219" customFormat="1">
      <c r="C38" s="220"/>
      <c r="D38" s="220"/>
      <c r="E38" s="216"/>
      <c r="F38" s="221"/>
      <c r="G38" s="221"/>
      <c r="H38" s="221"/>
      <c r="I38" s="222"/>
      <c r="J38" s="222"/>
      <c r="K38" s="222"/>
      <c r="L38" s="222"/>
      <c r="M38" s="222"/>
      <c r="N38" s="222"/>
    </row>
    <row r="39" spans="2:16" s="219" customFormat="1">
      <c r="C39" s="220"/>
      <c r="D39" s="220"/>
      <c r="E39" s="216"/>
      <c r="F39" s="221"/>
      <c r="G39" s="221"/>
      <c r="H39" s="221"/>
      <c r="I39" s="222"/>
      <c r="J39" s="222"/>
      <c r="K39" s="222"/>
      <c r="L39" s="222"/>
      <c r="M39" s="222"/>
      <c r="N39" s="222"/>
    </row>
    <row r="40" spans="2:16" s="219" customFormat="1">
      <c r="C40" s="220"/>
      <c r="D40" s="220"/>
      <c r="E40" s="216"/>
      <c r="F40" s="221"/>
      <c r="G40" s="221"/>
      <c r="H40" s="221"/>
      <c r="I40" s="222"/>
      <c r="J40" s="222"/>
      <c r="K40" s="222"/>
      <c r="L40" s="222"/>
      <c r="M40" s="222"/>
      <c r="N40" s="222"/>
    </row>
    <row r="41" spans="2:16" s="219" customFormat="1">
      <c r="B41" s="250"/>
      <c r="C41" s="250"/>
      <c r="D41" s="250"/>
      <c r="E41" s="251"/>
      <c r="F41" s="252"/>
      <c r="G41" s="252"/>
      <c r="H41" s="252"/>
      <c r="I41" s="252"/>
      <c r="J41" s="252"/>
      <c r="K41" s="222"/>
      <c r="L41" s="222"/>
      <c r="M41" s="222"/>
      <c r="N41" s="222"/>
    </row>
    <row r="42" spans="2:16" s="219" customFormat="1">
      <c r="B42" s="250"/>
      <c r="C42" s="250"/>
      <c r="D42" s="250"/>
      <c r="E42" s="251"/>
      <c r="F42" s="252"/>
      <c r="G42" s="252"/>
      <c r="H42" s="252"/>
      <c r="I42" s="252"/>
      <c r="J42" s="252"/>
      <c r="K42" s="222"/>
      <c r="L42" s="222"/>
      <c r="M42" s="222"/>
      <c r="N42" s="222"/>
    </row>
    <row r="43" spans="2:16" s="219" customFormat="1">
      <c r="B43" s="250"/>
      <c r="C43" s="250"/>
      <c r="D43" s="250"/>
      <c r="E43" s="250"/>
      <c r="F43" s="250"/>
      <c r="G43" s="250"/>
      <c r="H43" s="250"/>
      <c r="I43" s="250"/>
      <c r="J43" s="250"/>
    </row>
    <row r="44" spans="2:16" s="219" customFormat="1">
      <c r="B44" s="250"/>
      <c r="C44" s="250"/>
      <c r="D44" s="250"/>
      <c r="E44" s="250"/>
      <c r="F44" s="250"/>
      <c r="G44" s="250"/>
      <c r="H44" s="250"/>
      <c r="I44" s="250"/>
      <c r="J44" s="250"/>
    </row>
    <row r="45" spans="2:16" s="219" customFormat="1" hidden="1">
      <c r="B45" s="250"/>
      <c r="C45" s="250"/>
      <c r="D45" s="250"/>
      <c r="E45" s="250"/>
      <c r="F45" s="250"/>
      <c r="G45" s="250"/>
      <c r="H45" s="250"/>
      <c r="I45" s="250"/>
      <c r="J45" s="250"/>
    </row>
    <row r="46" spans="2:16" s="106" customFormat="1" hidden="1">
      <c r="B46" s="250"/>
      <c r="C46" s="250"/>
      <c r="D46" s="250">
        <v>0</v>
      </c>
      <c r="E46" s="250" t="s">
        <v>485</v>
      </c>
      <c r="F46" s="250"/>
      <c r="G46" s="250"/>
      <c r="H46" s="250"/>
      <c r="I46" s="250"/>
      <c r="J46" s="250"/>
      <c r="K46" s="250" t="s">
        <v>500</v>
      </c>
      <c r="L46" s="250" t="s">
        <v>501</v>
      </c>
      <c r="M46" s="250" t="s">
        <v>502</v>
      </c>
      <c r="N46" s="250" t="s">
        <v>503</v>
      </c>
      <c r="O46" s="250" t="s">
        <v>510</v>
      </c>
    </row>
    <row r="47" spans="2:16" s="106" customFormat="1" ht="39.6" hidden="1">
      <c r="B47" s="250"/>
      <c r="C47" s="250"/>
      <c r="D47" s="250">
        <v>2</v>
      </c>
      <c r="E47" s="250" t="s">
        <v>486</v>
      </c>
      <c r="F47" s="250"/>
      <c r="G47" s="250"/>
      <c r="H47" s="250"/>
      <c r="I47" s="253">
        <f t="shared" ref="I47:I62" si="0">D46</f>
        <v>0</v>
      </c>
      <c r="J47" s="254" t="str">
        <f>CONCATENATE("Reflex membran trykktank med fast membran med legionellasikring, type ",E46," Diameter ",K47," mm Høyde: ",L47,"mm Vekt: ",O47," kg. Trykklasse PN 10 Anslutning: ",M47)</f>
        <v>Reflex membran trykktank med fast membran med legionellasikring, type DD 2 Diameter 206 mm Høyde: 345mm Vekt: 1,7 kg. Trykklasse PN 10 Anslutning: G 3/4</v>
      </c>
      <c r="K47" s="255">
        <v>206</v>
      </c>
      <c r="L47" s="255">
        <v>345</v>
      </c>
      <c r="M47" s="255" t="s">
        <v>504</v>
      </c>
      <c r="N47" s="255">
        <v>4</v>
      </c>
      <c r="O47" s="255" t="s">
        <v>505</v>
      </c>
      <c r="P47" s="250"/>
    </row>
    <row r="48" spans="2:16" s="106" customFormat="1" ht="39.6" hidden="1">
      <c r="B48" s="250"/>
      <c r="C48" s="250"/>
      <c r="D48" s="250">
        <v>8</v>
      </c>
      <c r="E48" s="250" t="s">
        <v>487</v>
      </c>
      <c r="F48" s="250"/>
      <c r="G48" s="250"/>
      <c r="H48" s="250"/>
      <c r="I48" s="253">
        <f t="shared" si="0"/>
        <v>2</v>
      </c>
      <c r="J48" s="254" t="str">
        <f>CONCATENATE("Reflex membran trykktank med fast membran med legionellasikring, type ",E47," Diameter ",K48," mm Høyde: ",L48,"mm Vekt: ",O48," kg. Trykklasse PN 10 Anslutning: ",M48)</f>
        <v>Reflex membran trykktank med fast membran med legionellasikring, type DD 8 Diameter 280 mm Høyde: 318mm Vekt: 2,0 kg. Trykklasse PN 10 Anslutning: G 3/4</v>
      </c>
      <c r="K48" s="255">
        <v>280</v>
      </c>
      <c r="L48" s="255">
        <v>318</v>
      </c>
      <c r="M48" s="255" t="s">
        <v>504</v>
      </c>
      <c r="N48" s="255">
        <v>4</v>
      </c>
      <c r="O48" s="255" t="s">
        <v>506</v>
      </c>
      <c r="P48" s="250"/>
    </row>
    <row r="49" spans="1:16" s="106" customFormat="1" ht="39.6" hidden="1">
      <c r="B49" s="250"/>
      <c r="C49" s="250"/>
      <c r="D49" s="250">
        <v>12</v>
      </c>
      <c r="E49" s="250" t="s">
        <v>488</v>
      </c>
      <c r="F49" s="250"/>
      <c r="G49" s="250"/>
      <c r="H49" s="250"/>
      <c r="I49" s="253">
        <f t="shared" si="0"/>
        <v>8</v>
      </c>
      <c r="J49" s="254" t="str">
        <f>CONCATENATE("Reflex membran trykktank med fast membran med legionellasikring, type ",E48," Diameter ",K49," mm Høyde: ",L49,"mm Vekt: ",O49," kg. Trykklasse PN 10 Anslutning: ",M49)</f>
        <v>Reflex membran trykktank med fast membran med legionellasikring, type DD 12 Diameter 280 mm Høyde: 420mm Vekt: 2,5 kg. Trykklasse PN 10 Anslutning: G 3/4</v>
      </c>
      <c r="K49" s="255">
        <v>280</v>
      </c>
      <c r="L49" s="255">
        <v>420</v>
      </c>
      <c r="M49" s="255" t="s">
        <v>504</v>
      </c>
      <c r="N49" s="255">
        <v>4</v>
      </c>
      <c r="O49" s="255" t="s">
        <v>507</v>
      </c>
      <c r="P49" s="250"/>
    </row>
    <row r="50" spans="1:16" s="106" customFormat="1" ht="39.6" hidden="1">
      <c r="D50" s="250">
        <v>18</v>
      </c>
      <c r="E50" s="250" t="s">
        <v>489</v>
      </c>
      <c r="F50" s="250"/>
      <c r="G50" s="250"/>
      <c r="H50" s="250"/>
      <c r="I50" s="253">
        <f t="shared" si="0"/>
        <v>12</v>
      </c>
      <c r="J50" s="254" t="str">
        <f t="shared" ref="J50:J61" si="1">CONCATENATE("Reflex membran trykktank med fast membran med legionellasikring, type ",E49," Diameter ",K50," mm Høyde: ",L50,"mm Vekt: ",O50," kg. Trykklasse PN 10 Anslutning: ",M50)</f>
        <v>Reflex membran trykktank med fast membran med legionellasikring, type DD 18 Diameter 280 mm Høyde: 530mm Vekt: 3,3 kg. Trykklasse PN 10 Anslutning: G 3/4</v>
      </c>
      <c r="K50" s="255">
        <v>280</v>
      </c>
      <c r="L50" s="255">
        <v>530</v>
      </c>
      <c r="M50" s="255" t="s">
        <v>504</v>
      </c>
      <c r="N50" s="255">
        <v>4</v>
      </c>
      <c r="O50" s="255" t="s">
        <v>508</v>
      </c>
      <c r="P50" s="250"/>
    </row>
    <row r="51" spans="1:16" s="106" customFormat="1" ht="39.6" hidden="1">
      <c r="D51" s="250">
        <v>25</v>
      </c>
      <c r="E51" s="250" t="s">
        <v>490</v>
      </c>
      <c r="F51" s="250"/>
      <c r="G51" s="250"/>
      <c r="H51" s="250"/>
      <c r="I51" s="253">
        <f t="shared" si="0"/>
        <v>18</v>
      </c>
      <c r="J51" s="254" t="str">
        <f t="shared" si="1"/>
        <v>Reflex membran trykktank med fast membran med legionellasikring, type DD 25 Diameter 354 mm Høyde: 468mm Vekt: 5,8 kg. Trykklasse PN 10 Anslutning: G 3/4</v>
      </c>
      <c r="K51" s="255">
        <v>354</v>
      </c>
      <c r="L51" s="255">
        <v>468</v>
      </c>
      <c r="M51" s="255" t="s">
        <v>504</v>
      </c>
      <c r="N51" s="255">
        <v>4</v>
      </c>
      <c r="O51" s="255" t="s">
        <v>509</v>
      </c>
      <c r="P51" s="250"/>
    </row>
    <row r="52" spans="1:16" s="106" customFormat="1" ht="39.6" hidden="1">
      <c r="D52" s="250">
        <v>33</v>
      </c>
      <c r="E52" s="250" t="s">
        <v>491</v>
      </c>
      <c r="F52" s="250"/>
      <c r="G52" s="250"/>
      <c r="H52" s="250"/>
      <c r="I52" s="253">
        <f t="shared" si="0"/>
        <v>25</v>
      </c>
      <c r="J52" s="254" t="str">
        <f t="shared" si="1"/>
        <v>Reflex membran trykktank med fast membran med legionellasikring, type DD 33 Diameter 354 mm Høyde: 468mm Vekt: 5,8 kg. Trykklasse PN 10 Anslutning: G 3/4</v>
      </c>
      <c r="K52" s="255">
        <v>354</v>
      </c>
      <c r="L52" s="255">
        <v>468</v>
      </c>
      <c r="M52" s="255" t="s">
        <v>504</v>
      </c>
      <c r="N52" s="255">
        <v>4</v>
      </c>
      <c r="O52" s="255" t="s">
        <v>509</v>
      </c>
      <c r="P52" s="250"/>
    </row>
    <row r="53" spans="1:16" s="106" customFormat="1" ht="39.6" hidden="1">
      <c r="D53" s="250">
        <v>60</v>
      </c>
      <c r="E53" s="250" t="s">
        <v>492</v>
      </c>
      <c r="F53" s="250"/>
      <c r="G53" s="250"/>
      <c r="H53" s="250"/>
      <c r="I53" s="253">
        <f t="shared" si="0"/>
        <v>33</v>
      </c>
      <c r="J53" s="254" t="str">
        <f t="shared" si="1"/>
        <v>Reflex membran trykktank med fast membran med legionellasikring, type DT 60 Diameter 409 mm Høyde: 766mm Vekt: 15 kg. Trykklasse PN 10 Anslutning: G 1 1/4</v>
      </c>
      <c r="K53" s="255">
        <v>409</v>
      </c>
      <c r="L53" s="255">
        <v>766</v>
      </c>
      <c r="M53" s="255" t="s">
        <v>511</v>
      </c>
      <c r="N53" s="255">
        <v>4</v>
      </c>
      <c r="O53" s="255">
        <v>15</v>
      </c>
      <c r="P53" s="250"/>
    </row>
    <row r="54" spans="1:16" s="106" customFormat="1" ht="39.6" hidden="1">
      <c r="D54" s="250">
        <v>80</v>
      </c>
      <c r="E54" s="250" t="s">
        <v>493</v>
      </c>
      <c r="F54" s="250"/>
      <c r="G54" s="250"/>
      <c r="H54" s="250"/>
      <c r="I54" s="253">
        <f t="shared" si="0"/>
        <v>60</v>
      </c>
      <c r="J54" s="254" t="str">
        <f t="shared" si="1"/>
        <v>Reflex membran trykktank med fast membran med legionellasikring, type DT 80 Diameter 409 mm Høyde: 766mm Vekt: 15 kg. Trykklasse PN 10 Anslutning: G 1 1/4</v>
      </c>
      <c r="K54" s="255">
        <v>409</v>
      </c>
      <c r="L54" s="255">
        <v>766</v>
      </c>
      <c r="M54" s="255" t="s">
        <v>511</v>
      </c>
      <c r="N54" s="255">
        <v>4</v>
      </c>
      <c r="O54" s="255">
        <v>15</v>
      </c>
      <c r="P54" s="250"/>
    </row>
    <row r="55" spans="1:16" s="106" customFormat="1" ht="39.6" hidden="1">
      <c r="D55" s="250">
        <v>100</v>
      </c>
      <c r="E55" s="250" t="s">
        <v>494</v>
      </c>
      <c r="F55" s="250"/>
      <c r="G55" s="250"/>
      <c r="H55" s="250"/>
      <c r="I55" s="253">
        <f t="shared" si="0"/>
        <v>80</v>
      </c>
      <c r="J55" s="254" t="str">
        <f t="shared" si="1"/>
        <v>Reflex membran trykktank med fast membran med legionellasikring, type DT 100 Diameter 480 mm Høyde: 750mm Vekt: 16 kg. Trykklasse PN 10 Anslutning: G 1 1/4</v>
      </c>
      <c r="K55" s="255">
        <v>480</v>
      </c>
      <c r="L55" s="255">
        <v>750</v>
      </c>
      <c r="M55" s="255" t="s">
        <v>511</v>
      </c>
      <c r="N55" s="255">
        <v>4</v>
      </c>
      <c r="O55" s="255">
        <v>16</v>
      </c>
      <c r="P55" s="250"/>
    </row>
    <row r="56" spans="1:16" s="106" customFormat="1" ht="39.6" hidden="1">
      <c r="D56" s="250">
        <v>200</v>
      </c>
      <c r="E56" s="250" t="s">
        <v>495</v>
      </c>
      <c r="F56" s="250"/>
      <c r="G56" s="250"/>
      <c r="H56" s="250"/>
      <c r="I56" s="253">
        <f t="shared" si="0"/>
        <v>100</v>
      </c>
      <c r="J56" s="254" t="str">
        <f t="shared" si="1"/>
        <v>Reflex membran trykktank med fast membran med legionellasikring, type DT 200 Diameter 480 mm Høyde: 856mm Vekt: 19 kg. Trykklasse PN 10 Anslutning: G 1 1/4</v>
      </c>
      <c r="K56" s="255">
        <v>480</v>
      </c>
      <c r="L56" s="255">
        <v>856</v>
      </c>
      <c r="M56" s="255" t="s">
        <v>511</v>
      </c>
      <c r="N56" s="255">
        <v>4</v>
      </c>
      <c r="O56" s="255">
        <v>19</v>
      </c>
      <c r="P56" s="250"/>
    </row>
    <row r="57" spans="1:16" s="106" customFormat="1" ht="39.6" hidden="1">
      <c r="D57" s="250">
        <v>300</v>
      </c>
      <c r="E57" s="250" t="s">
        <v>496</v>
      </c>
      <c r="F57" s="250"/>
      <c r="G57" s="250"/>
      <c r="H57" s="250"/>
      <c r="I57" s="253">
        <f t="shared" si="0"/>
        <v>200</v>
      </c>
      <c r="J57" s="254" t="str">
        <f t="shared" si="1"/>
        <v>Reflex membran trykktank med fast membran med legionellasikring, type DT 300 Diameter 634 mm Høyde: 975mm Vekt: 37 kg. Trykklasse PN 10 Anslutning: G 1 1/4</v>
      </c>
      <c r="K57" s="255">
        <v>634</v>
      </c>
      <c r="L57" s="255">
        <v>975</v>
      </c>
      <c r="M57" s="255" t="s">
        <v>511</v>
      </c>
      <c r="N57" s="255">
        <v>4</v>
      </c>
      <c r="O57" s="255">
        <v>37</v>
      </c>
      <c r="P57" s="250"/>
    </row>
    <row r="58" spans="1:16" s="106" customFormat="1" ht="39.6" hidden="1">
      <c r="D58" s="250">
        <v>400</v>
      </c>
      <c r="E58" s="250" t="s">
        <v>497</v>
      </c>
      <c r="F58" s="250"/>
      <c r="G58" s="250"/>
      <c r="H58" s="250"/>
      <c r="I58" s="253">
        <f t="shared" si="0"/>
        <v>300</v>
      </c>
      <c r="J58" s="254" t="str">
        <f t="shared" si="1"/>
        <v>Reflex membran trykktank med fast membran med legionellasikring, type DT 400 Diameter 634 mm Høyde: 1275mm Vekt: 44 kg. Trykklasse PN 10 Anslutning: G 1 1/4</v>
      </c>
      <c r="K58" s="255">
        <v>634</v>
      </c>
      <c r="L58" s="255">
        <v>1275</v>
      </c>
      <c r="M58" s="255" t="s">
        <v>511</v>
      </c>
      <c r="N58" s="255">
        <v>4</v>
      </c>
      <c r="O58" s="255">
        <v>44</v>
      </c>
      <c r="P58" s="250"/>
    </row>
    <row r="59" spans="1:16" s="106" customFormat="1" ht="39.6" hidden="1">
      <c r="D59" s="250">
        <v>500</v>
      </c>
      <c r="E59" s="250" t="s">
        <v>498</v>
      </c>
      <c r="F59" s="250"/>
      <c r="G59" s="250"/>
      <c r="H59" s="250"/>
      <c r="I59" s="253">
        <f t="shared" si="0"/>
        <v>400</v>
      </c>
      <c r="J59" s="254" t="str">
        <f t="shared" si="1"/>
        <v>Reflex membran trykktank med fast membran med legionellasikring, type DT 500 Diameter 740 mm Høyde: 1245mm Vekt: 73 kg. Trykklasse PN 10 Anslutning: G 1 1/4</v>
      </c>
      <c r="K59" s="255">
        <v>740</v>
      </c>
      <c r="L59" s="255">
        <v>1245</v>
      </c>
      <c r="M59" s="255" t="s">
        <v>511</v>
      </c>
      <c r="N59" s="255">
        <v>4</v>
      </c>
      <c r="O59" s="255">
        <v>73</v>
      </c>
      <c r="P59" s="250"/>
    </row>
    <row r="60" spans="1:16" s="106" customFormat="1" ht="39.6" hidden="1">
      <c r="D60" s="250">
        <v>600</v>
      </c>
      <c r="E60" s="250" t="s">
        <v>499</v>
      </c>
      <c r="F60" s="250"/>
      <c r="G60" s="250"/>
      <c r="H60" s="250"/>
      <c r="I60" s="253">
        <f t="shared" si="0"/>
        <v>500</v>
      </c>
      <c r="J60" s="254" t="str">
        <f t="shared" si="1"/>
        <v>Reflex membran trykktank med fast membran med legionellasikring, type DT 600 Diameter 740 mm Høyde: 1475mm Vekt: 75 kg. Trykklasse PN 10 Anslutning: G 1 1/4</v>
      </c>
      <c r="K60" s="255">
        <v>740</v>
      </c>
      <c r="L60" s="255">
        <v>1475</v>
      </c>
      <c r="M60" s="255" t="s">
        <v>511</v>
      </c>
      <c r="N60" s="255">
        <v>4</v>
      </c>
      <c r="O60" s="255">
        <v>75</v>
      </c>
      <c r="P60" s="250"/>
    </row>
    <row r="61" spans="1:16" s="106" customFormat="1" ht="39.6" hidden="1">
      <c r="D61" s="250">
        <v>1000</v>
      </c>
      <c r="E61" s="250" t="s">
        <v>177</v>
      </c>
      <c r="F61" s="250"/>
      <c r="G61" s="250"/>
      <c r="H61" s="250"/>
      <c r="I61" s="253">
        <f t="shared" si="0"/>
        <v>600</v>
      </c>
      <c r="J61" s="254" t="str">
        <f t="shared" si="1"/>
        <v>Reflex membran trykktank med fast membran med legionellasikring, type DT 1000 Diameter 740 mm Høyde: 1860mm Vekt: 164 kg. Trykklasse PN 10 Anslutning: DN 50</v>
      </c>
      <c r="K61" s="255">
        <v>740</v>
      </c>
      <c r="L61" s="255">
        <v>1860</v>
      </c>
      <c r="M61" s="255" t="s">
        <v>512</v>
      </c>
      <c r="N61" s="255">
        <v>4</v>
      </c>
      <c r="O61" s="255">
        <v>164</v>
      </c>
      <c r="P61" s="250"/>
    </row>
    <row r="62" spans="1:16" s="219" customFormat="1" hidden="1">
      <c r="A62" s="59"/>
      <c r="B62" s="59"/>
      <c r="C62" s="59"/>
      <c r="D62" s="179"/>
      <c r="E62" s="179"/>
      <c r="F62" s="179"/>
      <c r="G62" s="179"/>
      <c r="H62" s="179"/>
      <c r="I62" s="253">
        <f t="shared" si="0"/>
        <v>1000</v>
      </c>
      <c r="J62" s="250"/>
      <c r="L62" s="250"/>
      <c r="M62" s="250"/>
      <c r="N62" s="250"/>
      <c r="O62" s="250"/>
      <c r="P62" s="250"/>
    </row>
    <row r="63" spans="1:16" s="219" customFormat="1" hidden="1">
      <c r="A63" s="59"/>
      <c r="B63" s="59"/>
      <c r="C63" s="59"/>
      <c r="D63" s="179"/>
      <c r="E63" s="179"/>
      <c r="F63" s="179"/>
      <c r="G63" s="179"/>
      <c r="H63" s="179"/>
      <c r="I63" s="250"/>
      <c r="J63" s="250"/>
    </row>
    <row r="64" spans="1:16" s="219" customFormat="1" hidden="1">
      <c r="A64" s="59"/>
      <c r="B64" s="59"/>
      <c r="C64" s="59"/>
      <c r="D64" s="59"/>
      <c r="E64" s="59"/>
      <c r="F64" s="59"/>
      <c r="G64" s="59"/>
      <c r="H64" s="59"/>
      <c r="I64" s="223"/>
      <c r="J64" s="223"/>
    </row>
    <row r="65" hidden="1"/>
    <row r="66" hidden="1"/>
    <row r="67" hidden="1"/>
    <row r="68" hidden="1"/>
    <row r="69" hidden="1"/>
    <row r="70" hidden="1"/>
  </sheetData>
  <sheetProtection sheet="1" objects="1" scenarios="1"/>
  <dataValidations disablePrompts="1" count="1">
    <dataValidation type="list" allowBlank="1" showInputMessage="1" showErrorMessage="1" sqref="E7" xr:uid="{00000000-0002-0000-0200-000000000000}">
      <formula1>$P$7:$P$11</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5"/>
  <dimension ref="A2:Q65"/>
  <sheetViews>
    <sheetView workbookViewId="0">
      <selection activeCell="E9" sqref="E9"/>
    </sheetView>
  </sheetViews>
  <sheetFormatPr baseColWidth="10" defaultColWidth="11.44140625" defaultRowHeight="13.2"/>
  <cols>
    <col min="1" max="1" width="3.33203125" style="59" customWidth="1"/>
    <col min="2" max="2" width="9.33203125" style="59" customWidth="1"/>
    <col min="3" max="3" width="2.6640625" style="59" customWidth="1"/>
    <col min="4" max="4" width="36.88671875" style="59" customWidth="1"/>
    <col min="5" max="5" width="19.44140625" style="59" customWidth="1"/>
    <col min="6" max="6" width="64" style="59" customWidth="1"/>
    <col min="7" max="7" width="18.6640625" style="59" customWidth="1"/>
    <col min="8" max="8" width="11.44140625" style="59"/>
    <col min="9" max="9" width="11.44140625" style="219"/>
    <col min="10" max="10" width="10" style="219" customWidth="1"/>
    <col min="11" max="17" width="11.44140625" style="219"/>
    <col min="18" max="16384" width="11.44140625" style="59"/>
  </cols>
  <sheetData>
    <row r="2" spans="2:17" ht="17.399999999999999">
      <c r="B2" s="83"/>
      <c r="C2" s="63" t="s">
        <v>222</v>
      </c>
      <c r="D2" s="64"/>
      <c r="E2" s="64"/>
      <c r="F2" s="64"/>
      <c r="G2" s="64"/>
      <c r="H2" s="64"/>
    </row>
    <row r="3" spans="2:17">
      <c r="B3" s="64"/>
      <c r="C3" s="64"/>
      <c r="D3" s="64"/>
      <c r="E3" s="64"/>
      <c r="F3" s="64"/>
      <c r="G3" s="64"/>
      <c r="H3" s="64"/>
    </row>
    <row r="4" spans="2:17">
      <c r="B4" s="83"/>
      <c r="C4" s="64" t="s">
        <v>173</v>
      </c>
      <c r="D4" s="64"/>
      <c r="E4" s="234">
        <v>360</v>
      </c>
      <c r="F4" s="64" t="s">
        <v>3</v>
      </c>
      <c r="G4" s="64"/>
      <c r="H4" s="64"/>
    </row>
    <row r="5" spans="2:17">
      <c r="B5" s="83"/>
      <c r="C5" s="64"/>
      <c r="D5" s="64"/>
      <c r="E5" s="110">
        <f>E4</f>
        <v>360</v>
      </c>
      <c r="F5" s="64"/>
      <c r="G5" s="64"/>
      <c r="H5" s="64"/>
    </row>
    <row r="6" spans="2:17">
      <c r="B6" s="83"/>
      <c r="C6" s="64"/>
      <c r="D6" s="64"/>
      <c r="E6" s="64"/>
      <c r="F6" s="64"/>
      <c r="G6" s="64"/>
      <c r="H6" s="64"/>
    </row>
    <row r="7" spans="2:17">
      <c r="B7" s="83"/>
      <c r="C7" s="64" t="s">
        <v>165</v>
      </c>
      <c r="D7" s="64"/>
      <c r="E7" s="93" t="s">
        <v>0</v>
      </c>
      <c r="F7" s="64"/>
      <c r="G7" s="64"/>
      <c r="H7" s="64"/>
      <c r="P7" s="225" t="s">
        <v>130</v>
      </c>
      <c r="Q7" s="226">
        <v>15</v>
      </c>
    </row>
    <row r="8" spans="2:17">
      <c r="B8" s="83"/>
      <c r="C8" s="64" t="s">
        <v>169</v>
      </c>
      <c r="D8" s="64"/>
      <c r="E8" s="231">
        <v>70</v>
      </c>
      <c r="F8" s="64" t="s">
        <v>171</v>
      </c>
      <c r="G8" s="64"/>
      <c r="H8" s="64"/>
      <c r="P8" s="225" t="s">
        <v>131</v>
      </c>
      <c r="Q8" s="226">
        <v>20</v>
      </c>
    </row>
    <row r="9" spans="2:17">
      <c r="B9" s="83"/>
      <c r="C9" s="64" t="s">
        <v>170</v>
      </c>
      <c r="D9" s="64"/>
      <c r="E9" s="40">
        <f>VLOOKUP(Bereder!E8,Data!A2:F20,2)*Bereder!E4</f>
        <v>8.2080000000000002</v>
      </c>
      <c r="F9" s="64" t="s">
        <v>3</v>
      </c>
      <c r="G9" s="64"/>
      <c r="H9" s="64"/>
      <c r="P9" s="225" t="s">
        <v>132</v>
      </c>
      <c r="Q9" s="226">
        <v>25</v>
      </c>
    </row>
    <row r="10" spans="2:17">
      <c r="B10" s="83"/>
      <c r="C10" s="109" t="s">
        <v>224</v>
      </c>
      <c r="D10" s="64"/>
      <c r="E10" s="231">
        <v>50</v>
      </c>
      <c r="F10" s="64" t="s">
        <v>57</v>
      </c>
      <c r="G10" s="64"/>
      <c r="H10" s="64"/>
      <c r="P10" s="225" t="s">
        <v>0</v>
      </c>
      <c r="Q10" s="226">
        <v>30</v>
      </c>
    </row>
    <row r="11" spans="2:17">
      <c r="B11" s="83"/>
      <c r="C11" s="64" t="s">
        <v>133</v>
      </c>
      <c r="D11" s="64"/>
      <c r="E11" s="231">
        <v>90</v>
      </c>
      <c r="F11" s="64" t="s">
        <v>57</v>
      </c>
      <c r="G11" s="64"/>
      <c r="H11" s="64"/>
      <c r="P11" s="225" t="s">
        <v>190</v>
      </c>
      <c r="Q11" s="226">
        <v>35</v>
      </c>
    </row>
    <row r="12" spans="2:17">
      <c r="B12" s="83"/>
      <c r="C12" s="64" t="s">
        <v>168</v>
      </c>
      <c r="D12" s="64"/>
      <c r="E12" s="64">
        <f>E10-5</f>
        <v>45</v>
      </c>
      <c r="F12" s="64" t="s">
        <v>57</v>
      </c>
      <c r="G12" s="64"/>
      <c r="H12" s="64"/>
      <c r="P12" s="225"/>
      <c r="Q12" s="226">
        <v>40</v>
      </c>
    </row>
    <row r="13" spans="2:17">
      <c r="B13" s="83"/>
      <c r="C13" s="64"/>
      <c r="D13" s="64"/>
      <c r="E13" s="64"/>
      <c r="F13" s="64"/>
      <c r="G13" s="64"/>
      <c r="H13" s="64"/>
      <c r="P13" s="225"/>
      <c r="Q13" s="226">
        <v>45</v>
      </c>
    </row>
    <row r="14" spans="2:17">
      <c r="B14" s="83"/>
      <c r="C14" s="68" t="s">
        <v>223</v>
      </c>
      <c r="D14" s="69"/>
      <c r="E14" s="69"/>
      <c r="F14" s="69"/>
      <c r="G14" s="70"/>
      <c r="H14" s="64"/>
      <c r="P14" s="225"/>
      <c r="Q14" s="226">
        <v>50</v>
      </c>
    </row>
    <row r="15" spans="2:17">
      <c r="B15" s="83"/>
      <c r="C15" s="71"/>
      <c r="D15" s="72" t="s">
        <v>134</v>
      </c>
      <c r="E15" s="73">
        <f>((E11-E11*0.1)+10-(E12+10))/(Bereder!E11-E11*0.1+10)</f>
        <v>0.39560439560439559</v>
      </c>
      <c r="F15" s="72"/>
      <c r="G15" s="74"/>
      <c r="H15" s="64"/>
      <c r="P15" s="225"/>
      <c r="Q15" s="226">
        <v>54</v>
      </c>
    </row>
    <row r="16" spans="2:17">
      <c r="B16" s="83"/>
      <c r="C16" s="71"/>
      <c r="D16" s="72" t="s">
        <v>135</v>
      </c>
      <c r="E16" s="75">
        <f>Ekspansjonbereder/E15</f>
        <v>20.748000000000001</v>
      </c>
      <c r="F16" s="72"/>
      <c r="G16" s="74"/>
      <c r="H16" s="64"/>
      <c r="P16" s="225"/>
      <c r="Q16" s="226">
        <v>60</v>
      </c>
    </row>
    <row r="17" spans="1:17" ht="39.6">
      <c r="B17" s="83"/>
      <c r="C17" s="71"/>
      <c r="D17" s="76" t="s">
        <v>172</v>
      </c>
      <c r="E17" s="103" t="str">
        <f>LOOKUP(E16,D46:E62)</f>
        <v>DE 25</v>
      </c>
      <c r="F17" s="105" t="str">
        <f>LOOKUP(E16,I47:J63)</f>
        <v>Reflex membran trykktank med utskiftbar membran, type DE 25
Diameter: 280 mm Høyde: 500 mm Vekt: 3,7 kg Trykklasse: PN 10 Anslutning: R3/4.' Standard ladetrykk: 4 bar</v>
      </c>
      <c r="G17" s="78"/>
      <c r="H17" s="65"/>
      <c r="I17" s="227"/>
      <c r="J17" s="227"/>
      <c r="K17" s="227"/>
      <c r="L17" s="227"/>
      <c r="M17" s="227"/>
      <c r="N17" s="227"/>
      <c r="P17" s="225"/>
      <c r="Q17" s="225"/>
    </row>
    <row r="18" spans="1:17">
      <c r="B18" s="83"/>
      <c r="C18" s="79"/>
      <c r="D18" s="80"/>
      <c r="E18" s="92"/>
      <c r="F18" s="81"/>
      <c r="G18" s="82"/>
      <c r="H18" s="66"/>
      <c r="I18" s="228"/>
      <c r="J18" s="228"/>
      <c r="K18" s="228"/>
      <c r="L18" s="228"/>
      <c r="M18" s="228"/>
      <c r="N18" s="228"/>
    </row>
    <row r="19" spans="1:17">
      <c r="B19" s="83"/>
      <c r="C19" s="64"/>
      <c r="D19" s="64"/>
      <c r="E19" s="93"/>
      <c r="F19" s="67"/>
      <c r="G19" s="67"/>
      <c r="H19" s="67"/>
      <c r="I19" s="222"/>
      <c r="J19" s="222"/>
      <c r="K19" s="222"/>
      <c r="L19" s="222"/>
      <c r="M19" s="222"/>
      <c r="N19" s="222"/>
    </row>
    <row r="20" spans="1:17">
      <c r="A20" s="219"/>
      <c r="B20" s="219"/>
      <c r="C20" s="220"/>
      <c r="D20" s="220"/>
      <c r="E20" s="216"/>
      <c r="F20" s="221"/>
      <c r="G20" s="221"/>
      <c r="H20" s="221"/>
      <c r="I20" s="222"/>
      <c r="J20" s="222"/>
      <c r="K20" s="222"/>
      <c r="L20" s="222"/>
      <c r="M20" s="222"/>
      <c r="N20" s="222"/>
    </row>
    <row r="21" spans="1:17">
      <c r="B21" s="83"/>
      <c r="C21" s="64"/>
      <c r="D21" s="64"/>
      <c r="E21" s="93"/>
      <c r="F21" s="67"/>
      <c r="G21" s="67"/>
      <c r="H21" s="67"/>
      <c r="I21" s="229"/>
      <c r="J21" s="229" t="s">
        <v>476</v>
      </c>
      <c r="K21" s="229" t="s">
        <v>477</v>
      </c>
      <c r="L21" s="106"/>
      <c r="M21" s="229"/>
      <c r="N21" s="229"/>
    </row>
    <row r="22" spans="1:17" ht="17.399999999999999">
      <c r="B22" s="83"/>
      <c r="C22" s="63" t="s">
        <v>468</v>
      </c>
      <c r="D22" s="64"/>
      <c r="E22" s="93"/>
      <c r="F22" s="67"/>
      <c r="G22" s="67"/>
      <c r="H22" s="67"/>
      <c r="I22" s="229">
        <v>0</v>
      </c>
      <c r="J22" s="229">
        <v>1.3</v>
      </c>
      <c r="K22" s="229" t="s">
        <v>473</v>
      </c>
      <c r="L22" s="106"/>
      <c r="M22" s="229"/>
      <c r="N22" s="229"/>
    </row>
    <row r="23" spans="1:17">
      <c r="B23" s="83"/>
      <c r="C23" s="64"/>
      <c r="D23" s="64"/>
      <c r="E23" s="93"/>
      <c r="F23" s="67"/>
      <c r="G23" s="67"/>
      <c r="H23" s="67"/>
      <c r="I23" s="229">
        <v>1.3</v>
      </c>
      <c r="J23" s="229">
        <v>2.2999999999999998</v>
      </c>
      <c r="K23" s="229" t="s">
        <v>475</v>
      </c>
      <c r="L23" s="106"/>
      <c r="M23" s="229"/>
      <c r="N23" s="229"/>
    </row>
    <row r="24" spans="1:17">
      <c r="B24" s="83"/>
      <c r="C24" s="109" t="s">
        <v>478</v>
      </c>
      <c r="D24" s="64"/>
      <c r="E24" s="93"/>
      <c r="F24" s="67"/>
      <c r="G24" s="67"/>
      <c r="H24" s="67"/>
      <c r="I24" s="229">
        <v>2.2999999999999998</v>
      </c>
      <c r="J24" s="229">
        <v>3.6</v>
      </c>
      <c r="K24" s="229" t="s">
        <v>472</v>
      </c>
      <c r="L24" s="106"/>
      <c r="M24" s="229"/>
      <c r="N24" s="229"/>
    </row>
    <row r="25" spans="1:17">
      <c r="B25" s="83"/>
      <c r="C25" s="64"/>
      <c r="D25" s="64"/>
      <c r="E25" s="93"/>
      <c r="F25" s="67"/>
      <c r="G25" s="67"/>
      <c r="H25" s="67"/>
      <c r="I25" s="229">
        <v>3.6</v>
      </c>
      <c r="J25" s="229">
        <v>5.8</v>
      </c>
      <c r="K25" s="229" t="s">
        <v>471</v>
      </c>
      <c r="L25" s="106"/>
      <c r="M25" s="229"/>
      <c r="N25" s="229"/>
    </row>
    <row r="26" spans="1:17" ht="15.6">
      <c r="B26" s="83"/>
      <c r="C26" s="109" t="s">
        <v>480</v>
      </c>
      <c r="D26" s="64"/>
      <c r="E26" s="235">
        <v>5</v>
      </c>
      <c r="F26" s="214" t="s">
        <v>469</v>
      </c>
      <c r="G26" s="67"/>
      <c r="H26" s="67"/>
      <c r="I26" s="229">
        <v>5.8</v>
      </c>
      <c r="J26" s="229">
        <v>9.1</v>
      </c>
      <c r="K26" s="229" t="s">
        <v>470</v>
      </c>
      <c r="L26" s="106"/>
      <c r="M26" s="229"/>
      <c r="N26" s="229"/>
    </row>
    <row r="27" spans="1:17">
      <c r="B27" s="83"/>
      <c r="C27" s="64"/>
      <c r="D27" s="64"/>
      <c r="E27" s="180"/>
      <c r="F27" s="67"/>
      <c r="G27" s="67"/>
      <c r="H27" s="67"/>
      <c r="I27" s="229">
        <v>9.1</v>
      </c>
      <c r="J27" s="229">
        <v>14</v>
      </c>
      <c r="K27" s="229" t="s">
        <v>474</v>
      </c>
      <c r="L27" s="106"/>
      <c r="M27" s="229"/>
      <c r="N27" s="229"/>
    </row>
    <row r="28" spans="1:17">
      <c r="B28" s="83"/>
      <c r="C28" s="64"/>
      <c r="D28" s="64"/>
      <c r="E28" s="224" t="str">
        <f>IF(E10&gt;60,"Ta kontakt med SGP for tilbud",VLOOKUP(E26,I22:K28,3))</f>
        <v>SYR Trykkred.ventil 315 1 1/4" 1.5-6.0 Bar 30°C(NRF 5630019)</v>
      </c>
      <c r="F28" s="67"/>
      <c r="G28" s="67"/>
      <c r="H28" s="67"/>
      <c r="I28" s="229">
        <v>14.01</v>
      </c>
      <c r="J28" s="229"/>
      <c r="K28" s="229" t="s">
        <v>479</v>
      </c>
      <c r="L28" s="229"/>
      <c r="M28" s="229"/>
      <c r="N28" s="229"/>
    </row>
    <row r="29" spans="1:17">
      <c r="B29" s="83"/>
      <c r="C29" s="64"/>
      <c r="D29" s="64"/>
      <c r="E29" s="93"/>
      <c r="F29" s="67"/>
      <c r="G29" s="67"/>
      <c r="H29" s="67"/>
      <c r="I29" s="222"/>
      <c r="J29" s="222"/>
      <c r="K29" s="222"/>
      <c r="L29" s="222"/>
      <c r="M29" s="222"/>
      <c r="N29" s="222"/>
    </row>
    <row r="30" spans="1:17">
      <c r="B30" s="83"/>
      <c r="C30" s="64"/>
      <c r="D30" s="64"/>
      <c r="E30" s="93"/>
      <c r="F30" s="67"/>
      <c r="G30" s="67"/>
      <c r="H30" s="67"/>
      <c r="I30" s="222"/>
      <c r="J30" s="222"/>
      <c r="K30" s="222"/>
      <c r="L30" s="222"/>
      <c r="M30" s="222"/>
      <c r="N30" s="222"/>
    </row>
    <row r="31" spans="1:17" s="219" customFormat="1">
      <c r="B31" s="180"/>
      <c r="C31" s="217"/>
      <c r="D31" s="217"/>
      <c r="E31" s="215"/>
      <c r="F31" s="218"/>
      <c r="G31" s="218"/>
      <c r="H31" s="218"/>
      <c r="I31" s="222"/>
      <c r="J31" s="222"/>
      <c r="K31" s="222"/>
      <c r="L31" s="222"/>
      <c r="M31" s="222"/>
      <c r="N31" s="222"/>
    </row>
    <row r="32" spans="1:17" s="219" customFormat="1">
      <c r="C32" s="220"/>
      <c r="D32" s="220"/>
      <c r="E32" s="216"/>
      <c r="F32" s="221"/>
      <c r="G32" s="221"/>
      <c r="H32" s="221"/>
      <c r="I32" s="222"/>
      <c r="J32" s="222"/>
      <c r="K32" s="222"/>
      <c r="L32" s="222"/>
      <c r="M32" s="222"/>
      <c r="N32" s="222"/>
    </row>
    <row r="33" spans="3:14" s="219" customFormat="1">
      <c r="C33" s="220"/>
      <c r="D33" s="220"/>
      <c r="E33" s="216"/>
      <c r="F33" s="221"/>
      <c r="G33" s="221"/>
      <c r="H33" s="221"/>
      <c r="I33" s="222"/>
      <c r="J33" s="222"/>
      <c r="K33" s="222"/>
      <c r="L33" s="222"/>
      <c r="M33" s="222"/>
      <c r="N33" s="222"/>
    </row>
    <row r="34" spans="3:14" s="219" customFormat="1">
      <c r="C34" s="220"/>
      <c r="D34" s="220"/>
      <c r="E34" s="216"/>
      <c r="F34" s="221"/>
      <c r="G34" s="221"/>
      <c r="H34" s="221"/>
      <c r="I34" s="222"/>
      <c r="J34" s="222"/>
      <c r="K34" s="222"/>
      <c r="L34" s="222"/>
      <c r="M34" s="222"/>
      <c r="N34" s="222"/>
    </row>
    <row r="35" spans="3:14" s="219" customFormat="1">
      <c r="C35" s="220"/>
      <c r="D35" s="220"/>
      <c r="E35" s="216"/>
      <c r="F35" s="221"/>
      <c r="G35" s="221"/>
      <c r="H35" s="221"/>
      <c r="I35" s="222"/>
      <c r="J35" s="222"/>
      <c r="K35" s="222"/>
      <c r="L35" s="222"/>
      <c r="M35" s="222"/>
      <c r="N35" s="222"/>
    </row>
    <row r="36" spans="3:14" s="219" customFormat="1">
      <c r="C36" s="220"/>
      <c r="D36" s="220"/>
      <c r="E36" s="216"/>
      <c r="F36" s="221"/>
      <c r="G36" s="221"/>
      <c r="H36" s="221"/>
      <c r="I36" s="222"/>
      <c r="J36" s="222"/>
      <c r="K36" s="222"/>
      <c r="L36" s="222"/>
      <c r="M36" s="222"/>
      <c r="N36" s="222"/>
    </row>
    <row r="37" spans="3:14" s="219" customFormat="1">
      <c r="C37" s="220"/>
      <c r="D37" s="220"/>
      <c r="E37" s="216"/>
      <c r="F37" s="221"/>
      <c r="G37" s="221"/>
      <c r="H37" s="221"/>
      <c r="I37" s="222"/>
      <c r="J37" s="222"/>
      <c r="K37" s="222"/>
      <c r="L37" s="222"/>
      <c r="M37" s="222"/>
      <c r="N37" s="222"/>
    </row>
    <row r="38" spans="3:14" s="219" customFormat="1">
      <c r="C38" s="220"/>
      <c r="D38" s="220"/>
      <c r="E38" s="216"/>
      <c r="F38" s="221"/>
      <c r="G38" s="221"/>
      <c r="H38" s="221"/>
      <c r="I38" s="222"/>
      <c r="J38" s="222"/>
      <c r="K38" s="222"/>
      <c r="L38" s="222"/>
      <c r="M38" s="222"/>
      <c r="N38" s="222"/>
    </row>
    <row r="39" spans="3:14" s="219" customFormat="1">
      <c r="C39" s="220"/>
      <c r="D39" s="220"/>
      <c r="E39" s="216"/>
      <c r="F39" s="221"/>
      <c r="G39" s="221"/>
      <c r="H39" s="221"/>
      <c r="I39" s="222"/>
      <c r="J39" s="222"/>
      <c r="K39" s="222"/>
      <c r="L39" s="222"/>
      <c r="M39" s="222"/>
      <c r="N39" s="222"/>
    </row>
    <row r="40" spans="3:14" s="219" customFormat="1">
      <c r="C40" s="220"/>
      <c r="D40" s="220"/>
      <c r="E40" s="216"/>
      <c r="F40" s="221"/>
      <c r="G40" s="221"/>
      <c r="H40" s="221"/>
      <c r="I40" s="222"/>
      <c r="J40" s="222"/>
      <c r="K40" s="222"/>
      <c r="L40" s="222"/>
      <c r="M40" s="222"/>
      <c r="N40" s="222"/>
    </row>
    <row r="41" spans="3:14" s="219" customFormat="1">
      <c r="C41" s="220"/>
      <c r="D41" s="220"/>
      <c r="E41" s="216"/>
      <c r="F41" s="221"/>
      <c r="G41" s="221"/>
      <c r="H41" s="221"/>
      <c r="I41" s="222"/>
      <c r="J41" s="222"/>
      <c r="K41" s="222"/>
      <c r="L41" s="222"/>
      <c r="M41" s="222"/>
      <c r="N41" s="222"/>
    </row>
    <row r="42" spans="3:14" s="219" customFormat="1">
      <c r="C42" s="220"/>
      <c r="D42" s="220"/>
      <c r="E42" s="216"/>
      <c r="F42" s="221"/>
      <c r="G42" s="221"/>
      <c r="H42" s="221"/>
      <c r="I42" s="222"/>
      <c r="J42" s="222"/>
      <c r="K42" s="222"/>
      <c r="L42" s="222"/>
      <c r="M42" s="222"/>
      <c r="N42" s="222"/>
    </row>
    <row r="43" spans="3:14" s="219" customFormat="1">
      <c r="C43" s="220"/>
      <c r="D43" s="220"/>
      <c r="E43" s="220"/>
      <c r="F43" s="220"/>
      <c r="G43" s="220"/>
      <c r="H43" s="220"/>
    </row>
    <row r="44" spans="3:14" s="219" customFormat="1">
      <c r="I44" s="223"/>
      <c r="J44" s="223"/>
    </row>
    <row r="45" spans="3:14" s="219" customFormat="1">
      <c r="D45" s="223"/>
      <c r="E45" s="223"/>
      <c r="F45" s="223"/>
      <c r="I45" s="223"/>
      <c r="J45" s="223"/>
    </row>
    <row r="46" spans="3:14" s="106" customFormat="1">
      <c r="D46" s="106">
        <v>0</v>
      </c>
      <c r="E46" s="106" t="s">
        <v>191</v>
      </c>
    </row>
    <row r="47" spans="3:14" s="106" customFormat="1">
      <c r="D47" s="106">
        <v>2</v>
      </c>
      <c r="E47" s="106" t="s">
        <v>203</v>
      </c>
      <c r="I47" s="107">
        <f t="shared" ref="I47:I55" si="0">D46</f>
        <v>0</v>
      </c>
      <c r="J47" s="106" t="s">
        <v>204</v>
      </c>
    </row>
    <row r="48" spans="3:14" s="106" customFormat="1" ht="250.8">
      <c r="D48" s="106">
        <v>8</v>
      </c>
      <c r="E48" s="106" t="s">
        <v>192</v>
      </c>
      <c r="I48" s="107">
        <f t="shared" si="0"/>
        <v>2</v>
      </c>
      <c r="J48" s="108" t="s">
        <v>206</v>
      </c>
    </row>
    <row r="49" spans="4:10" s="106" customFormat="1" ht="224.4">
      <c r="D49" s="106">
        <v>12</v>
      </c>
      <c r="E49" s="106" t="s">
        <v>193</v>
      </c>
      <c r="I49" s="107">
        <f t="shared" si="0"/>
        <v>8</v>
      </c>
      <c r="J49" s="108" t="s">
        <v>221</v>
      </c>
    </row>
    <row r="50" spans="4:10" s="106" customFormat="1" ht="224.4">
      <c r="D50" s="106">
        <v>18</v>
      </c>
      <c r="E50" s="106" t="s">
        <v>194</v>
      </c>
      <c r="I50" s="107">
        <f t="shared" si="0"/>
        <v>12</v>
      </c>
      <c r="J50" s="108" t="s">
        <v>220</v>
      </c>
    </row>
    <row r="51" spans="4:10" s="106" customFormat="1" ht="277.2">
      <c r="D51" s="106">
        <v>25</v>
      </c>
      <c r="E51" s="106" t="s">
        <v>208</v>
      </c>
      <c r="I51" s="107">
        <f t="shared" si="0"/>
        <v>18</v>
      </c>
      <c r="J51" s="108" t="s">
        <v>205</v>
      </c>
    </row>
    <row r="52" spans="4:10" s="106" customFormat="1" ht="277.2">
      <c r="D52" s="106">
        <v>33</v>
      </c>
      <c r="E52" s="106" t="s">
        <v>210</v>
      </c>
      <c r="I52" s="107">
        <f t="shared" si="0"/>
        <v>25</v>
      </c>
      <c r="J52" s="108" t="s">
        <v>209</v>
      </c>
    </row>
    <row r="53" spans="4:10" s="106" customFormat="1" ht="277.2">
      <c r="D53" s="106">
        <v>60</v>
      </c>
      <c r="E53" s="106" t="s">
        <v>201</v>
      </c>
      <c r="I53" s="107">
        <f t="shared" si="0"/>
        <v>33</v>
      </c>
      <c r="J53" s="108" t="s">
        <v>211</v>
      </c>
    </row>
    <row r="54" spans="4:10" s="106" customFormat="1" ht="277.2">
      <c r="D54" s="106">
        <v>80</v>
      </c>
      <c r="E54" s="106" t="s">
        <v>202</v>
      </c>
      <c r="I54" s="107">
        <f t="shared" si="0"/>
        <v>60</v>
      </c>
      <c r="J54" s="108" t="s">
        <v>207</v>
      </c>
    </row>
    <row r="55" spans="4:10" s="106" customFormat="1" ht="277.2">
      <c r="D55" s="106">
        <v>100</v>
      </c>
      <c r="E55" s="106" t="s">
        <v>195</v>
      </c>
      <c r="I55" s="107">
        <f t="shared" si="0"/>
        <v>80</v>
      </c>
      <c r="J55" s="108" t="s">
        <v>212</v>
      </c>
    </row>
    <row r="56" spans="4:10" s="106" customFormat="1" ht="277.2">
      <c r="D56" s="106">
        <v>200</v>
      </c>
      <c r="E56" s="106" t="s">
        <v>261</v>
      </c>
      <c r="I56" s="107">
        <f t="shared" ref="I56:I63" si="1">D55</f>
        <v>100</v>
      </c>
      <c r="J56" s="108" t="s">
        <v>213</v>
      </c>
    </row>
    <row r="57" spans="4:10" s="106" customFormat="1" ht="277.2">
      <c r="D57" s="106">
        <v>300</v>
      </c>
      <c r="E57" s="106" t="s">
        <v>196</v>
      </c>
      <c r="I57" s="107">
        <f t="shared" si="1"/>
        <v>200</v>
      </c>
      <c r="J57" s="108" t="s">
        <v>214</v>
      </c>
    </row>
    <row r="58" spans="4:10" s="106" customFormat="1" ht="277.2">
      <c r="D58" s="106">
        <v>400</v>
      </c>
      <c r="E58" s="106" t="s">
        <v>197</v>
      </c>
      <c r="I58" s="107">
        <f t="shared" si="1"/>
        <v>300</v>
      </c>
      <c r="J58" s="108" t="s">
        <v>215</v>
      </c>
    </row>
    <row r="59" spans="4:10" s="106" customFormat="1" ht="277.2">
      <c r="D59" s="106">
        <v>500</v>
      </c>
      <c r="E59" s="106" t="s">
        <v>198</v>
      </c>
      <c r="I59" s="107">
        <f t="shared" si="1"/>
        <v>400</v>
      </c>
      <c r="J59" s="108" t="s">
        <v>216</v>
      </c>
    </row>
    <row r="60" spans="4:10" s="106" customFormat="1" ht="277.2">
      <c r="D60" s="106">
        <v>600</v>
      </c>
      <c r="E60" s="106" t="s">
        <v>199</v>
      </c>
      <c r="I60" s="107">
        <f t="shared" si="1"/>
        <v>500</v>
      </c>
      <c r="J60" s="108" t="s">
        <v>218</v>
      </c>
    </row>
    <row r="61" spans="4:10" s="106" customFormat="1" ht="277.2">
      <c r="D61" s="106">
        <v>800</v>
      </c>
      <c r="E61" s="106" t="s">
        <v>200</v>
      </c>
      <c r="I61" s="107">
        <f t="shared" si="1"/>
        <v>600</v>
      </c>
      <c r="J61" s="108" t="s">
        <v>219</v>
      </c>
    </row>
    <row r="62" spans="4:10" s="106" customFormat="1" ht="277.2">
      <c r="D62" s="106">
        <v>1000</v>
      </c>
      <c r="E62" s="106" t="s">
        <v>177</v>
      </c>
      <c r="I62" s="107">
        <f t="shared" si="1"/>
        <v>800</v>
      </c>
      <c r="J62" s="108" t="s">
        <v>217</v>
      </c>
    </row>
    <row r="63" spans="4:10">
      <c r="D63" s="178"/>
      <c r="E63" s="178"/>
      <c r="F63" s="178"/>
      <c r="G63" s="178"/>
      <c r="H63" s="178"/>
      <c r="I63" s="107">
        <f t="shared" si="1"/>
        <v>1000</v>
      </c>
      <c r="J63" s="106"/>
    </row>
    <row r="64" spans="4:10">
      <c r="D64" s="178"/>
      <c r="E64" s="178"/>
      <c r="F64" s="178"/>
      <c r="G64" s="178"/>
      <c r="H64" s="178"/>
      <c r="I64" s="106"/>
      <c r="J64" s="106"/>
    </row>
    <row r="65" spans="9:10">
      <c r="I65" s="223"/>
      <c r="J65" s="223"/>
    </row>
  </sheetData>
  <sortState xmlns:xlrd2="http://schemas.microsoft.com/office/spreadsheetml/2017/richdata2" ref="I22:J27">
    <sortCondition ref="I22:I27"/>
  </sortState>
  <dataValidations count="1">
    <dataValidation type="list" allowBlank="1" showInputMessage="1" showErrorMessage="1" sqref="E7" xr:uid="{00000000-0002-0000-0300-000000000000}">
      <formula1>$P$7:$P$11</formula1>
    </dataValidation>
  </dataValidation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9"/>
  <dimension ref="B1:O34"/>
  <sheetViews>
    <sheetView workbookViewId="0">
      <selection activeCell="A19" sqref="A19"/>
    </sheetView>
  </sheetViews>
  <sheetFormatPr baseColWidth="10" defaultColWidth="11.44140625" defaultRowHeight="13.2"/>
  <cols>
    <col min="1" max="1" width="3.5546875" style="200" customWidth="1"/>
    <col min="2" max="2" width="30.88671875" style="200" bestFit="1" customWidth="1"/>
    <col min="3" max="3" width="19.6640625" style="200" customWidth="1"/>
    <col min="4" max="4" width="15" style="200" customWidth="1"/>
    <col min="5" max="5" width="20.109375" style="200" customWidth="1"/>
    <col min="6" max="7" width="11.44140625" style="200"/>
    <col min="8" max="8" width="13.6640625" style="200" customWidth="1"/>
    <col min="9" max="9" width="15.88671875" style="200" customWidth="1"/>
    <col min="10" max="12" width="11.44140625" style="145" customWidth="1"/>
    <col min="13" max="13" width="11.44140625" style="200" customWidth="1"/>
    <col min="14" max="15" width="11.44140625" style="145"/>
    <col min="16" max="16384" width="11.44140625" style="200"/>
  </cols>
  <sheetData>
    <row r="1" spans="2:15">
      <c r="B1" s="201"/>
    </row>
    <row r="2" spans="2:15" ht="77.25" customHeight="1">
      <c r="B2" s="212" t="s">
        <v>461</v>
      </c>
      <c r="C2" s="180"/>
      <c r="D2" s="180"/>
      <c r="E2" s="180"/>
      <c r="J2" s="145" t="s">
        <v>236</v>
      </c>
      <c r="K2" s="210" t="s">
        <v>237</v>
      </c>
      <c r="L2" s="145" t="s">
        <v>395</v>
      </c>
    </row>
    <row r="3" spans="2:15">
      <c r="B3" s="180" t="s">
        <v>225</v>
      </c>
      <c r="C3" s="180"/>
      <c r="D3" s="236">
        <v>140</v>
      </c>
      <c r="E3" s="180" t="s">
        <v>234</v>
      </c>
      <c r="G3" s="211" t="s">
        <v>450</v>
      </c>
      <c r="H3" s="115" t="s">
        <v>458</v>
      </c>
      <c r="I3" s="115" t="s">
        <v>459</v>
      </c>
      <c r="J3" s="145">
        <v>0</v>
      </c>
      <c r="K3" s="145">
        <v>0.35</v>
      </c>
    </row>
    <row r="4" spans="2:15">
      <c r="B4" s="115" t="s">
        <v>460</v>
      </c>
      <c r="C4" s="180"/>
      <c r="D4" s="237" t="s">
        <v>456</v>
      </c>
      <c r="E4" s="180"/>
      <c r="G4" s="115" t="s">
        <v>453</v>
      </c>
      <c r="H4" s="180">
        <v>1.7</v>
      </c>
      <c r="I4" s="180">
        <v>10</v>
      </c>
      <c r="J4" s="145">
        <v>10</v>
      </c>
      <c r="K4" s="145">
        <v>0.66</v>
      </c>
    </row>
    <row r="5" spans="2:15">
      <c r="B5" s="180" t="s">
        <v>226</v>
      </c>
      <c r="C5" s="180"/>
      <c r="D5" s="180">
        <f>VLOOKUP(D4,G4:H11,2)</f>
        <v>2.9</v>
      </c>
      <c r="E5" s="180" t="s">
        <v>3</v>
      </c>
      <c r="G5" s="115" t="s">
        <v>451</v>
      </c>
      <c r="H5" s="180">
        <v>1.2</v>
      </c>
      <c r="I5" s="180">
        <v>10</v>
      </c>
      <c r="J5" s="145">
        <v>20</v>
      </c>
      <c r="K5" s="145">
        <v>1.04</v>
      </c>
      <c r="N5" s="145" t="s">
        <v>434</v>
      </c>
    </row>
    <row r="6" spans="2:15">
      <c r="B6" s="180" t="s">
        <v>243</v>
      </c>
      <c r="C6" s="180" t="s">
        <v>384</v>
      </c>
      <c r="D6" s="180">
        <f>D3*D5</f>
        <v>406</v>
      </c>
      <c r="E6" s="180" t="s">
        <v>3</v>
      </c>
      <c r="G6" s="115" t="s">
        <v>452</v>
      </c>
      <c r="H6" s="180">
        <v>1.1000000000000001</v>
      </c>
      <c r="I6" s="180">
        <v>10</v>
      </c>
      <c r="J6" s="145">
        <v>30</v>
      </c>
      <c r="K6" s="145">
        <v>1.49</v>
      </c>
      <c r="O6" s="145" t="s">
        <v>436</v>
      </c>
    </row>
    <row r="7" spans="2:15">
      <c r="B7" s="180"/>
      <c r="C7" s="180"/>
      <c r="D7" s="180"/>
      <c r="E7" s="180"/>
      <c r="G7" s="115" t="s">
        <v>452</v>
      </c>
      <c r="H7" s="180">
        <v>1.5</v>
      </c>
      <c r="I7" s="180">
        <v>10</v>
      </c>
      <c r="J7" s="145">
        <v>40</v>
      </c>
      <c r="K7" s="145">
        <v>1.99</v>
      </c>
      <c r="N7" s="145">
        <v>12</v>
      </c>
      <c r="O7" s="145" t="s">
        <v>435</v>
      </c>
    </row>
    <row r="8" spans="2:15">
      <c r="B8" s="180" t="s">
        <v>232</v>
      </c>
      <c r="C8" s="180"/>
      <c r="D8" s="238">
        <v>1376</v>
      </c>
      <c r="E8" s="180" t="s">
        <v>3</v>
      </c>
      <c r="G8" s="115" t="s">
        <v>455</v>
      </c>
      <c r="H8" s="180">
        <v>2.9</v>
      </c>
      <c r="I8" s="180">
        <v>10</v>
      </c>
      <c r="J8" s="145">
        <v>50</v>
      </c>
      <c r="K8" s="145">
        <v>2.5299999999999998</v>
      </c>
      <c r="L8" s="145">
        <v>-0.9</v>
      </c>
      <c r="N8" s="145">
        <v>25</v>
      </c>
      <c r="O8" s="145" t="s">
        <v>437</v>
      </c>
    </row>
    <row r="9" spans="2:15">
      <c r="B9" s="180" t="s">
        <v>233</v>
      </c>
      <c r="C9" s="180" t="s">
        <v>383</v>
      </c>
      <c r="D9" s="180">
        <f>D3*D5+D8</f>
        <v>1782</v>
      </c>
      <c r="E9" s="180" t="s">
        <v>3</v>
      </c>
      <c r="G9" s="115" t="s">
        <v>457</v>
      </c>
      <c r="H9" s="180">
        <v>1.4</v>
      </c>
      <c r="I9" s="180">
        <v>8</v>
      </c>
      <c r="J9" s="145">
        <v>60</v>
      </c>
      <c r="K9" s="145">
        <v>3.11</v>
      </c>
      <c r="L9" s="145">
        <v>-0.8</v>
      </c>
      <c r="N9" s="145">
        <v>33</v>
      </c>
      <c r="O9" s="145" t="s">
        <v>438</v>
      </c>
    </row>
    <row r="10" spans="2:15">
      <c r="B10" s="180"/>
      <c r="C10" s="180"/>
      <c r="D10" s="180"/>
      <c r="E10" s="180"/>
      <c r="G10" s="115" t="s">
        <v>456</v>
      </c>
      <c r="H10" s="180">
        <v>2.9</v>
      </c>
      <c r="I10" s="180">
        <v>10</v>
      </c>
      <c r="J10" s="145">
        <v>70</v>
      </c>
      <c r="K10" s="145">
        <v>3.71</v>
      </c>
      <c r="L10" s="145">
        <v>-0.7</v>
      </c>
      <c r="N10" s="145">
        <v>50</v>
      </c>
      <c r="O10" s="145" t="s">
        <v>439</v>
      </c>
    </row>
    <row r="11" spans="2:15">
      <c r="B11" s="180" t="s">
        <v>227</v>
      </c>
      <c r="C11" s="180" t="s">
        <v>385</v>
      </c>
      <c r="D11" s="236">
        <v>130</v>
      </c>
      <c r="E11" s="180" t="s">
        <v>235</v>
      </c>
      <c r="G11" s="115" t="s">
        <v>454</v>
      </c>
      <c r="H11" s="180">
        <v>2.1</v>
      </c>
      <c r="I11" s="180">
        <v>5</v>
      </c>
      <c r="J11" s="145">
        <v>80</v>
      </c>
      <c r="K11" s="145">
        <v>4.3499999999999996</v>
      </c>
      <c r="L11" s="145">
        <v>-0.6</v>
      </c>
      <c r="N11" s="145">
        <v>80</v>
      </c>
      <c r="O11" s="145" t="s">
        <v>440</v>
      </c>
    </row>
    <row r="12" spans="2:15">
      <c r="B12" s="180" t="s">
        <v>228</v>
      </c>
      <c r="C12" s="180" t="s">
        <v>386</v>
      </c>
      <c r="D12" s="236">
        <v>-20</v>
      </c>
      <c r="E12" s="180" t="s">
        <v>235</v>
      </c>
      <c r="J12" s="145">
        <v>90</v>
      </c>
      <c r="K12" s="145">
        <v>5.01</v>
      </c>
      <c r="L12" s="145">
        <v>-0.4</v>
      </c>
      <c r="N12" s="145">
        <v>100</v>
      </c>
      <c r="O12" s="145" t="s">
        <v>441</v>
      </c>
    </row>
    <row r="13" spans="2:15">
      <c r="B13" s="180" t="s">
        <v>229</v>
      </c>
      <c r="C13" s="180"/>
      <c r="D13" s="239">
        <v>0.4</v>
      </c>
      <c r="E13" s="180"/>
      <c r="J13" s="145">
        <v>100</v>
      </c>
      <c r="K13" s="145">
        <v>5.68</v>
      </c>
      <c r="L13" s="145">
        <v>-0.1</v>
      </c>
      <c r="N13" s="145">
        <v>140</v>
      </c>
      <c r="O13" s="145" t="s">
        <v>442</v>
      </c>
    </row>
    <row r="14" spans="2:15">
      <c r="B14" s="180"/>
      <c r="C14" s="180"/>
      <c r="D14" s="180"/>
      <c r="E14" s="180"/>
      <c r="J14" s="145">
        <v>110</v>
      </c>
      <c r="K14" s="145">
        <v>6.39</v>
      </c>
      <c r="L14" s="145">
        <v>0.23</v>
      </c>
      <c r="N14" s="145">
        <v>200</v>
      </c>
      <c r="O14" s="145" t="s">
        <v>443</v>
      </c>
    </row>
    <row r="15" spans="2:15">
      <c r="B15" s="180" t="s">
        <v>230</v>
      </c>
      <c r="C15" s="180" t="s">
        <v>387</v>
      </c>
      <c r="D15" s="236">
        <v>3.2</v>
      </c>
      <c r="E15" s="180" t="s">
        <v>64</v>
      </c>
      <c r="F15" s="116"/>
      <c r="G15" s="116"/>
      <c r="H15" s="116"/>
      <c r="J15" s="145">
        <v>120</v>
      </c>
      <c r="K15" s="145">
        <v>7.11</v>
      </c>
      <c r="L15" s="145">
        <v>0.7</v>
      </c>
      <c r="N15" s="145">
        <v>250</v>
      </c>
      <c r="O15" s="145" t="s">
        <v>444</v>
      </c>
    </row>
    <row r="16" spans="2:15">
      <c r="B16" s="180" t="s">
        <v>231</v>
      </c>
      <c r="C16" s="180" t="s">
        <v>388</v>
      </c>
      <c r="D16" s="236">
        <v>0.2</v>
      </c>
      <c r="E16" s="180" t="s">
        <v>64</v>
      </c>
      <c r="J16" s="145">
        <v>130</v>
      </c>
      <c r="K16" s="145">
        <v>7.85</v>
      </c>
      <c r="L16" s="145">
        <v>1.33</v>
      </c>
      <c r="N16" s="145">
        <v>300</v>
      </c>
      <c r="O16" s="145" t="s">
        <v>445</v>
      </c>
    </row>
    <row r="17" spans="2:15">
      <c r="B17" s="180"/>
      <c r="C17" s="180"/>
      <c r="D17" s="180"/>
      <c r="E17" s="180"/>
      <c r="J17" s="145">
        <v>140</v>
      </c>
      <c r="K17" s="145">
        <v>8.6199999999999992</v>
      </c>
      <c r="L17" s="145">
        <v>2.13</v>
      </c>
      <c r="N17" s="145">
        <v>400</v>
      </c>
      <c r="O17" s="145" t="s">
        <v>446</v>
      </c>
    </row>
    <row r="18" spans="2:15">
      <c r="B18" s="180" t="s">
        <v>238</v>
      </c>
      <c r="C18" s="180" t="s">
        <v>389</v>
      </c>
      <c r="D18" s="180">
        <f>D15+D16+Pd</f>
        <v>4.7300000000000004</v>
      </c>
      <c r="E18" s="180" t="s">
        <v>64</v>
      </c>
      <c r="J18" s="145">
        <v>150</v>
      </c>
      <c r="K18" s="145">
        <v>9.41</v>
      </c>
      <c r="L18" s="145">
        <v>3.15</v>
      </c>
      <c r="N18" s="145">
        <v>500</v>
      </c>
      <c r="O18" s="145" t="s">
        <v>447</v>
      </c>
    </row>
    <row r="19" spans="2:15">
      <c r="B19" s="180" t="s">
        <v>133</v>
      </c>
      <c r="C19" s="180" t="s">
        <v>390</v>
      </c>
      <c r="D19" s="236">
        <v>9</v>
      </c>
      <c r="E19" s="180" t="s">
        <v>64</v>
      </c>
      <c r="J19" s="145">
        <v>160</v>
      </c>
      <c r="K19" s="145">
        <v>10.199999999999999</v>
      </c>
      <c r="L19" s="145">
        <v>4.41</v>
      </c>
      <c r="N19" s="145">
        <v>600</v>
      </c>
      <c r="O19" s="145" t="s">
        <v>448</v>
      </c>
    </row>
    <row r="20" spans="2:15">
      <c r="B20" s="115" t="s">
        <v>380</v>
      </c>
      <c r="C20" s="180" t="s">
        <v>391</v>
      </c>
      <c r="D20" s="180">
        <f>D19-0.1*D19</f>
        <v>8.1</v>
      </c>
      <c r="E20" s="180"/>
    </row>
    <row r="21" spans="2:15">
      <c r="B21" s="180"/>
      <c r="C21" s="180"/>
      <c r="D21" s="180"/>
      <c r="E21" s="180"/>
      <c r="K21" s="145">
        <f>VLOOKUP($D$11,$J$3:$L$19,2)</f>
        <v>7.85</v>
      </c>
      <c r="L21" s="145">
        <f>VLOOKUP($D$11,$J$3:$L$19,3)</f>
        <v>1.33</v>
      </c>
    </row>
    <row r="22" spans="2:15">
      <c r="B22" s="180"/>
      <c r="C22" s="180"/>
      <c r="D22" s="180"/>
      <c r="E22" s="180"/>
    </row>
    <row r="23" spans="2:15">
      <c r="B23" s="180" t="s">
        <v>239</v>
      </c>
      <c r="C23" s="206">
        <v>5.0000000000000001E-3</v>
      </c>
      <c r="D23" s="180">
        <f>MAXA(D9*C23,3)</f>
        <v>8.91</v>
      </c>
      <c r="E23" s="180" t="s">
        <v>3</v>
      </c>
    </row>
    <row r="24" spans="2:15">
      <c r="B24" s="180"/>
      <c r="C24" s="180"/>
      <c r="D24" s="180"/>
      <c r="E24" s="180"/>
    </row>
    <row r="25" spans="2:15">
      <c r="B25" s="180" t="s">
        <v>242</v>
      </c>
      <c r="C25" s="180" t="s">
        <v>392</v>
      </c>
      <c r="D25" s="203">
        <f>D9*K21/100</f>
        <v>139.887</v>
      </c>
      <c r="E25" s="180"/>
    </row>
    <row r="26" spans="2:15">
      <c r="B26" s="115" t="s">
        <v>241</v>
      </c>
      <c r="C26" s="204" t="s">
        <v>393</v>
      </c>
      <c r="D26" s="208">
        <f>(D9*K21/100+D23+(D3*D5))*((D20+1)/(D20-D18))</f>
        <v>1498.1165281899114</v>
      </c>
      <c r="E26" s="115" t="s">
        <v>3</v>
      </c>
    </row>
    <row r="27" spans="2:15" ht="41.25" customHeight="1">
      <c r="B27" s="204"/>
      <c r="C27" s="204"/>
      <c r="D27" s="205"/>
      <c r="E27" s="115"/>
    </row>
    <row r="28" spans="2:15">
      <c r="B28" s="209" t="s">
        <v>449</v>
      </c>
      <c r="C28" s="180"/>
      <c r="D28" s="264" t="str">
        <f>VLOOKUP(Vn,N6:O19,2)</f>
        <v>Benytt flere kar i parallell</v>
      </c>
      <c r="E28" s="265"/>
    </row>
    <row r="29" spans="2:15">
      <c r="B29" s="180" t="s">
        <v>240</v>
      </c>
      <c r="C29" s="180"/>
      <c r="D29" s="207">
        <f>(D20+1)/(1+(D25+D3*D5*(D20+1))/(D26*(D18+1)))</f>
        <v>6.2902174484040421</v>
      </c>
      <c r="E29" s="180" t="s">
        <v>64</v>
      </c>
    </row>
    <row r="31" spans="2:15">
      <c r="B31" s="202"/>
      <c r="C31" s="145" t="s">
        <v>381</v>
      </c>
      <c r="D31" s="145">
        <f>Pe+1</f>
        <v>9.1</v>
      </c>
    </row>
    <row r="32" spans="2:15">
      <c r="B32" s="202"/>
      <c r="C32" s="145" t="s">
        <v>394</v>
      </c>
      <c r="D32" s="145">
        <f>(Ve)*(Pe+1)*(n/100)</f>
        <v>99.928278450000008</v>
      </c>
    </row>
    <row r="33" spans="2:4">
      <c r="B33" s="202"/>
      <c r="C33" s="145" t="s">
        <v>382</v>
      </c>
      <c r="D33" s="145">
        <f>Vn*(P0+1)*(n/100)</f>
        <v>673.86030496246326</v>
      </c>
    </row>
    <row r="34" spans="2:4">
      <c r="B34" s="202"/>
      <c r="C34" s="145"/>
      <c r="D34" s="145">
        <f>D31/(1+(D32/D33))</f>
        <v>7.924811643143256</v>
      </c>
    </row>
  </sheetData>
  <sheetProtection sheet="1" objects="1" scenarios="1"/>
  <sortState xmlns:xlrd2="http://schemas.microsoft.com/office/spreadsheetml/2017/richdata2" ref="G4:I11">
    <sortCondition ref="G4:G11"/>
  </sortState>
  <mergeCells count="1">
    <mergeCell ref="D28:E28"/>
  </mergeCells>
  <dataValidations count="1">
    <dataValidation type="list" allowBlank="1" showInputMessage="1" showErrorMessage="1" sqref="D4" xr:uid="{00000000-0002-0000-0400-000000000000}">
      <formula1>$G$4:$G$11</formula1>
    </dataValidation>
  </dataValidation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10"/>
  <dimension ref="B1:P59"/>
  <sheetViews>
    <sheetView workbookViewId="0">
      <selection activeCell="A19" sqref="A19"/>
    </sheetView>
  </sheetViews>
  <sheetFormatPr baseColWidth="10" defaultColWidth="11.44140625" defaultRowHeight="13.2"/>
  <cols>
    <col min="1" max="1" width="3.33203125" style="116" customWidth="1"/>
    <col min="2" max="2" width="9.33203125" style="116" customWidth="1"/>
    <col min="3" max="3" width="2.6640625" style="116" customWidth="1"/>
    <col min="4" max="4" width="36.88671875" style="116" customWidth="1"/>
    <col min="5" max="5" width="19.44140625" style="116" customWidth="1"/>
    <col min="6" max="6" width="64" style="116" customWidth="1"/>
    <col min="7" max="7" width="18.6640625" style="116" customWidth="1"/>
    <col min="8" max="9" width="11.44140625" style="116"/>
    <col min="10" max="10" width="28.88671875" style="145" bestFit="1" customWidth="1"/>
    <col min="11" max="14" width="11.44140625" style="145"/>
    <col min="15" max="16384" width="11.44140625" style="116"/>
  </cols>
  <sheetData>
    <row r="1" spans="2:16">
      <c r="B1" s="115"/>
      <c r="C1" s="115"/>
      <c r="D1" s="115"/>
      <c r="E1" s="115"/>
      <c r="F1" s="115"/>
      <c r="G1" s="115"/>
      <c r="H1" s="115"/>
      <c r="J1" s="116" t="s">
        <v>244</v>
      </c>
      <c r="K1" s="116" t="s">
        <v>155</v>
      </c>
      <c r="L1" s="116"/>
      <c r="M1" s="116"/>
      <c r="N1" s="116"/>
    </row>
    <row r="2" spans="2:16" ht="17.399999999999999">
      <c r="B2" s="115"/>
      <c r="C2" s="117" t="s">
        <v>245</v>
      </c>
      <c r="D2" s="115"/>
      <c r="E2" s="115"/>
      <c r="F2" s="115"/>
      <c r="G2" s="115"/>
      <c r="H2" s="115"/>
      <c r="J2" s="116" t="s">
        <v>246</v>
      </c>
      <c r="K2" s="116" t="s">
        <v>247</v>
      </c>
      <c r="L2" s="116"/>
      <c r="M2" s="116"/>
      <c r="N2" s="116"/>
    </row>
    <row r="3" spans="2:16">
      <c r="B3" s="115"/>
      <c r="C3" s="115"/>
      <c r="D3" s="115"/>
      <c r="E3" s="115"/>
      <c r="F3" s="115"/>
      <c r="G3" s="115"/>
      <c r="H3" s="115"/>
      <c r="J3" s="116"/>
      <c r="K3" s="116"/>
      <c r="L3" s="116"/>
      <c r="M3" s="116"/>
      <c r="N3" s="116"/>
    </row>
    <row r="4" spans="2:16">
      <c r="B4" s="115"/>
      <c r="C4" s="115"/>
      <c r="D4" s="115"/>
      <c r="E4" s="118"/>
      <c r="F4" s="115"/>
      <c r="G4" s="115"/>
      <c r="H4" s="115"/>
      <c r="J4" s="116" t="s">
        <v>248</v>
      </c>
      <c r="K4" s="116"/>
      <c r="L4" s="116"/>
      <c r="M4" s="116" t="s">
        <v>249</v>
      </c>
      <c r="N4" s="116"/>
    </row>
    <row r="5" spans="2:16">
      <c r="B5" s="115"/>
      <c r="C5" s="115"/>
      <c r="D5" s="115"/>
      <c r="E5" s="118"/>
      <c r="F5" s="115"/>
      <c r="G5" s="115"/>
      <c r="H5" s="115"/>
      <c r="J5" s="116" t="s">
        <v>250</v>
      </c>
      <c r="K5" s="116" t="s">
        <v>251</v>
      </c>
      <c r="L5" s="116"/>
      <c r="M5" s="116" t="s">
        <v>252</v>
      </c>
      <c r="N5" s="116" t="s">
        <v>251</v>
      </c>
    </row>
    <row r="6" spans="2:16">
      <c r="B6" s="115"/>
      <c r="C6" s="115"/>
      <c r="D6" s="115"/>
      <c r="E6" s="115"/>
      <c r="F6" s="115"/>
      <c r="G6" s="115"/>
      <c r="H6" s="115"/>
      <c r="J6" s="116">
        <v>1</v>
      </c>
      <c r="K6" s="116">
        <f t="shared" ref="K6:K15" si="0">J6-0.5</f>
        <v>0.5</v>
      </c>
      <c r="L6" s="116"/>
      <c r="M6" s="116">
        <v>1</v>
      </c>
      <c r="N6" s="116" t="s">
        <v>253</v>
      </c>
    </row>
    <row r="7" spans="2:16">
      <c r="B7" s="115"/>
      <c r="C7" s="115" t="s">
        <v>254</v>
      </c>
      <c r="D7" s="115"/>
      <c r="E7" s="240" t="s">
        <v>246</v>
      </c>
      <c r="F7" s="115"/>
      <c r="G7" s="115"/>
      <c r="H7" s="115"/>
      <c r="J7" s="116">
        <v>2</v>
      </c>
      <c r="K7" s="116">
        <f t="shared" si="0"/>
        <v>1.5</v>
      </c>
      <c r="L7" s="116"/>
      <c r="M7" s="116">
        <v>2</v>
      </c>
      <c r="N7" s="116">
        <f t="shared" ref="N7:N15" si="1">M7-0.5</f>
        <v>1.5</v>
      </c>
    </row>
    <row r="8" spans="2:16">
      <c r="B8" s="115"/>
      <c r="C8" s="115" t="str">
        <f>LOOKUP(E7,J1:K2)</f>
        <v>Starttrykk pumpen</v>
      </c>
      <c r="D8" s="115"/>
      <c r="E8" s="241">
        <v>5</v>
      </c>
      <c r="F8" s="115" t="s">
        <v>151</v>
      </c>
      <c r="G8" s="115"/>
      <c r="H8" s="115"/>
      <c r="J8" s="116">
        <v>3</v>
      </c>
      <c r="K8" s="116">
        <f t="shared" si="0"/>
        <v>2.5</v>
      </c>
      <c r="L8" s="116"/>
      <c r="M8" s="116">
        <v>3</v>
      </c>
      <c r="N8" s="116">
        <f t="shared" si="1"/>
        <v>2.5</v>
      </c>
    </row>
    <row r="9" spans="2:16">
      <c r="B9" s="115"/>
      <c r="C9" s="115" t="s">
        <v>255</v>
      </c>
      <c r="D9" s="115"/>
      <c r="E9" s="241">
        <v>8</v>
      </c>
      <c r="F9" s="115" t="s">
        <v>365</v>
      </c>
      <c r="G9" s="115"/>
      <c r="H9" s="115"/>
      <c r="J9" s="116">
        <v>4</v>
      </c>
      <c r="K9" s="116">
        <f t="shared" si="0"/>
        <v>3.5</v>
      </c>
      <c r="L9" s="116"/>
      <c r="M9" s="116">
        <v>4</v>
      </c>
      <c r="N9" s="116">
        <f t="shared" si="1"/>
        <v>3.5</v>
      </c>
    </row>
    <row r="10" spans="2:16">
      <c r="B10" s="115"/>
      <c r="C10" s="115" t="s">
        <v>256</v>
      </c>
      <c r="D10" s="115"/>
      <c r="E10" s="115">
        <f>IF(E7=J1,M16,J16)</f>
        <v>4.5</v>
      </c>
      <c r="F10" s="115" t="s">
        <v>151</v>
      </c>
      <c r="G10" s="115"/>
      <c r="H10" s="115"/>
      <c r="J10" s="116">
        <v>5</v>
      </c>
      <c r="K10" s="116">
        <f t="shared" si="0"/>
        <v>4.5</v>
      </c>
      <c r="L10" s="116"/>
      <c r="M10" s="116">
        <v>5</v>
      </c>
      <c r="N10" s="116">
        <f t="shared" si="1"/>
        <v>4.5</v>
      </c>
    </row>
    <row r="11" spans="2:16">
      <c r="B11" s="115"/>
      <c r="C11" s="115"/>
      <c r="D11" s="115"/>
      <c r="E11" s="115"/>
      <c r="F11" s="115"/>
      <c r="G11" s="115"/>
      <c r="H11" s="115"/>
      <c r="J11" s="116">
        <v>6</v>
      </c>
      <c r="K11" s="116">
        <f t="shared" si="0"/>
        <v>5.5</v>
      </c>
      <c r="L11" s="116"/>
      <c r="M11" s="116">
        <v>6</v>
      </c>
      <c r="N11" s="116">
        <f t="shared" si="1"/>
        <v>5.5</v>
      </c>
    </row>
    <row r="12" spans="2:16">
      <c r="B12" s="115"/>
      <c r="C12" s="115"/>
      <c r="D12" s="115"/>
      <c r="E12" s="115"/>
      <c r="F12" s="115"/>
      <c r="G12" s="115"/>
      <c r="H12" s="115"/>
      <c r="J12" s="116">
        <v>7</v>
      </c>
      <c r="K12" s="116">
        <f t="shared" si="0"/>
        <v>6.5</v>
      </c>
      <c r="L12" s="116"/>
      <c r="M12" s="116">
        <v>7</v>
      </c>
      <c r="N12" s="116">
        <f t="shared" si="1"/>
        <v>6.5</v>
      </c>
    </row>
    <row r="13" spans="2:16">
      <c r="B13" s="115"/>
      <c r="C13" s="115" t="s">
        <v>257</v>
      </c>
      <c r="D13" s="115"/>
      <c r="E13" s="240">
        <v>2500</v>
      </c>
      <c r="F13" s="115" t="s">
        <v>258</v>
      </c>
      <c r="G13" s="115"/>
      <c r="H13" s="115"/>
      <c r="J13" s="116">
        <v>8</v>
      </c>
      <c r="K13" s="116">
        <f t="shared" si="0"/>
        <v>7.5</v>
      </c>
      <c r="L13" s="116"/>
      <c r="M13" s="116">
        <v>8</v>
      </c>
      <c r="N13" s="116">
        <f t="shared" si="1"/>
        <v>7.5</v>
      </c>
    </row>
    <row r="14" spans="2:16">
      <c r="B14" s="115"/>
      <c r="C14" s="115" t="s">
        <v>259</v>
      </c>
      <c r="D14" s="115"/>
      <c r="E14" s="240">
        <v>4000</v>
      </c>
      <c r="F14" s="115" t="s">
        <v>258</v>
      </c>
      <c r="G14" s="115"/>
      <c r="H14" s="115"/>
      <c r="J14" s="116">
        <v>9</v>
      </c>
      <c r="K14" s="116">
        <f t="shared" si="0"/>
        <v>8.5</v>
      </c>
      <c r="L14" s="116"/>
      <c r="M14" s="116">
        <v>9</v>
      </c>
      <c r="N14" s="116">
        <f t="shared" si="1"/>
        <v>8.5</v>
      </c>
    </row>
    <row r="15" spans="2:16">
      <c r="B15" s="115"/>
      <c r="C15" s="115" t="s">
        <v>260</v>
      </c>
      <c r="D15" s="115"/>
      <c r="E15" s="240">
        <v>10</v>
      </c>
      <c r="F15" s="115"/>
      <c r="G15" s="115"/>
      <c r="H15" s="115"/>
      <c r="J15" s="116">
        <v>10</v>
      </c>
      <c r="K15" s="116">
        <f t="shared" si="0"/>
        <v>9.5</v>
      </c>
      <c r="L15" s="116"/>
      <c r="M15" s="116">
        <v>10</v>
      </c>
      <c r="N15" s="116">
        <f t="shared" si="1"/>
        <v>9.5</v>
      </c>
    </row>
    <row r="16" spans="2:16">
      <c r="B16" s="115"/>
      <c r="C16" s="115"/>
      <c r="D16" s="115"/>
      <c r="E16" s="118"/>
      <c r="F16" s="115"/>
      <c r="G16" s="115"/>
      <c r="H16" s="115"/>
      <c r="J16" s="116">
        <f>LOOKUP(E8,J6:K15)</f>
        <v>4.5</v>
      </c>
      <c r="K16" s="116"/>
      <c r="L16" s="116"/>
      <c r="M16" s="116">
        <f>LOOKUP(E8,M6:N15)</f>
        <v>4.5</v>
      </c>
      <c r="N16" s="116"/>
      <c r="P16" s="119"/>
    </row>
    <row r="17" spans="2:14">
      <c r="B17" s="115"/>
      <c r="C17" s="115"/>
      <c r="D17" s="115"/>
      <c r="E17" s="115"/>
      <c r="F17" s="115"/>
      <c r="G17" s="115"/>
      <c r="H17" s="115"/>
      <c r="I17" s="120"/>
      <c r="J17" s="120"/>
      <c r="K17" s="120"/>
      <c r="L17" s="120"/>
      <c r="M17" s="120"/>
      <c r="N17" s="116"/>
    </row>
    <row r="18" spans="2:14">
      <c r="B18" s="115"/>
      <c r="C18" s="121" t="s">
        <v>223</v>
      </c>
      <c r="D18" s="122"/>
      <c r="E18" s="122"/>
      <c r="F18" s="122"/>
      <c r="G18" s="123"/>
      <c r="H18" s="115"/>
      <c r="I18" s="124"/>
      <c r="J18" s="124"/>
      <c r="K18" s="124"/>
      <c r="L18" s="124"/>
      <c r="M18" s="124"/>
      <c r="N18" s="124"/>
    </row>
    <row r="19" spans="2:14">
      <c r="B19" s="115"/>
      <c r="C19" s="125"/>
      <c r="D19" s="126" t="s">
        <v>134</v>
      </c>
      <c r="E19" s="127">
        <f>IF(E7="Trykksiden av pumpen",((E8+E9+1)-(E10+0.5+1))/(E8+E9+1),((E8+1)-(E10+0.5+1))/(E8+1))</f>
        <v>0.5714285714285714</v>
      </c>
      <c r="F19" s="126"/>
      <c r="G19" s="128"/>
      <c r="H19" s="115"/>
      <c r="I19" s="129"/>
      <c r="J19" s="129"/>
      <c r="K19" s="129"/>
      <c r="L19" s="129"/>
      <c r="M19" s="129"/>
      <c r="N19" s="129"/>
    </row>
    <row r="20" spans="2:14">
      <c r="B20" s="115"/>
      <c r="C20" s="125"/>
      <c r="D20" s="126" t="s">
        <v>135</v>
      </c>
      <c r="E20" s="130">
        <f>(MIN(E14,E13)/E15)/E19</f>
        <v>437.5</v>
      </c>
      <c r="F20" s="126"/>
      <c r="G20" s="128"/>
      <c r="H20" s="131"/>
      <c r="J20" s="116"/>
      <c r="K20" s="116"/>
      <c r="L20" s="116"/>
      <c r="M20" s="116"/>
      <c r="N20" s="116"/>
    </row>
    <row r="21" spans="2:14" ht="39.6">
      <c r="B21" s="115"/>
      <c r="C21" s="125"/>
      <c r="D21" s="132" t="s">
        <v>172</v>
      </c>
      <c r="E21" s="133" t="str">
        <f>LOOKUP(E20,D41:E57)</f>
        <v>DE 500</v>
      </c>
      <c r="F21" s="134" t="str">
        <f>LOOKUP(E20,F41:G57)</f>
        <v>Reflex membran trykktank med utskiftbar membran, type DE 500
Diameter: 740 mm Høyde: 1475 mm Vekt: 79 kg Trykklasse: PN 10 Anslutning: R 1 1/4'' Standard ladetrykk: 4 bar</v>
      </c>
      <c r="G21" s="135"/>
      <c r="H21" s="136"/>
      <c r="J21" s="116"/>
      <c r="K21" s="116"/>
      <c r="L21" s="116"/>
      <c r="M21" s="116"/>
      <c r="N21" s="116"/>
    </row>
    <row r="22" spans="2:14">
      <c r="B22" s="115"/>
      <c r="C22" s="137"/>
      <c r="D22" s="138"/>
      <c r="E22" s="139"/>
      <c r="F22" s="140"/>
      <c r="G22" s="141"/>
      <c r="H22" s="142"/>
      <c r="J22" s="116"/>
      <c r="K22" s="116"/>
      <c r="L22" s="116"/>
      <c r="M22" s="116"/>
      <c r="N22" s="116"/>
    </row>
    <row r="23" spans="2:14">
      <c r="B23" s="115"/>
      <c r="C23" s="115"/>
      <c r="D23" s="115"/>
      <c r="E23" s="115"/>
      <c r="F23" s="115"/>
      <c r="G23" s="115"/>
      <c r="H23" s="115"/>
      <c r="J23" s="116"/>
      <c r="K23" s="116"/>
      <c r="L23" s="116"/>
      <c r="M23" s="116"/>
      <c r="N23" s="116"/>
    </row>
    <row r="24" spans="2:14">
      <c r="B24" s="115"/>
      <c r="C24" s="115"/>
      <c r="D24" s="115"/>
      <c r="E24" s="115"/>
      <c r="F24" s="115"/>
      <c r="G24" s="115"/>
      <c r="H24" s="115"/>
      <c r="J24" s="116"/>
      <c r="K24" s="116"/>
      <c r="L24" s="116"/>
      <c r="M24" s="116"/>
      <c r="N24" s="116"/>
    </row>
    <row r="25" spans="2:14">
      <c r="E25" s="143"/>
      <c r="J25" s="116"/>
      <c r="K25" s="116"/>
      <c r="L25" s="116"/>
      <c r="M25" s="116"/>
      <c r="N25" s="116"/>
    </row>
    <row r="27" spans="2:14">
      <c r="E27" s="144"/>
    </row>
    <row r="37" spans="4:7">
      <c r="E37" s="143"/>
      <c r="F37" s="129"/>
      <c r="G37" s="129"/>
    </row>
    <row r="41" spans="4:7" s="145" customFormat="1">
      <c r="D41" s="145">
        <v>0</v>
      </c>
      <c r="E41" s="145" t="s">
        <v>191</v>
      </c>
      <c r="F41" s="146">
        <f t="shared" ref="F41:F57" si="2">D41</f>
        <v>0</v>
      </c>
      <c r="G41" s="145" t="s">
        <v>204</v>
      </c>
    </row>
    <row r="42" spans="4:7" s="145" customFormat="1" ht="132">
      <c r="D42" s="145">
        <v>2</v>
      </c>
      <c r="E42" s="145" t="s">
        <v>203</v>
      </c>
      <c r="F42" s="146">
        <f t="shared" si="2"/>
        <v>2</v>
      </c>
      <c r="G42" s="147" t="s">
        <v>206</v>
      </c>
    </row>
    <row r="43" spans="4:7" s="145" customFormat="1" ht="118.8">
      <c r="D43" s="145">
        <v>8</v>
      </c>
      <c r="E43" s="145" t="s">
        <v>192</v>
      </c>
      <c r="F43" s="146">
        <f t="shared" si="2"/>
        <v>8</v>
      </c>
      <c r="G43" s="147" t="s">
        <v>221</v>
      </c>
    </row>
    <row r="44" spans="4:7" s="145" customFormat="1" ht="118.8">
      <c r="D44" s="145">
        <v>12</v>
      </c>
      <c r="E44" s="145" t="s">
        <v>193</v>
      </c>
      <c r="F44" s="146">
        <f t="shared" si="2"/>
        <v>12</v>
      </c>
      <c r="G44" s="147" t="s">
        <v>220</v>
      </c>
    </row>
    <row r="45" spans="4:7" s="145" customFormat="1" ht="145.19999999999999">
      <c r="D45" s="145">
        <v>18</v>
      </c>
      <c r="E45" s="145" t="s">
        <v>194</v>
      </c>
      <c r="F45" s="146">
        <f t="shared" si="2"/>
        <v>18</v>
      </c>
      <c r="G45" s="147" t="s">
        <v>205</v>
      </c>
    </row>
    <row r="46" spans="4:7" s="145" customFormat="1" ht="145.19999999999999">
      <c r="D46" s="145">
        <v>25</v>
      </c>
      <c r="E46" s="145" t="s">
        <v>208</v>
      </c>
      <c r="F46" s="146">
        <f t="shared" si="2"/>
        <v>25</v>
      </c>
      <c r="G46" s="147" t="s">
        <v>209</v>
      </c>
    </row>
    <row r="47" spans="4:7" s="145" customFormat="1" ht="145.19999999999999">
      <c r="D47" s="145">
        <v>33</v>
      </c>
      <c r="E47" s="145" t="s">
        <v>210</v>
      </c>
      <c r="F47" s="146">
        <f t="shared" si="2"/>
        <v>33</v>
      </c>
      <c r="G47" s="147" t="s">
        <v>211</v>
      </c>
    </row>
    <row r="48" spans="4:7" s="145" customFormat="1" ht="145.19999999999999">
      <c r="D48" s="145">
        <v>60</v>
      </c>
      <c r="E48" s="145" t="s">
        <v>201</v>
      </c>
      <c r="F48" s="146">
        <f t="shared" si="2"/>
        <v>60</v>
      </c>
      <c r="G48" s="147" t="s">
        <v>207</v>
      </c>
    </row>
    <row r="49" spans="4:7" s="145" customFormat="1" ht="145.19999999999999">
      <c r="D49" s="145">
        <v>80</v>
      </c>
      <c r="E49" s="145" t="s">
        <v>202</v>
      </c>
      <c r="F49" s="146">
        <f t="shared" si="2"/>
        <v>80</v>
      </c>
      <c r="G49" s="147" t="s">
        <v>212</v>
      </c>
    </row>
    <row r="50" spans="4:7" s="145" customFormat="1" ht="145.19999999999999">
      <c r="D50" s="145">
        <v>100</v>
      </c>
      <c r="E50" s="145" t="s">
        <v>195</v>
      </c>
      <c r="F50" s="146">
        <f t="shared" si="2"/>
        <v>100</v>
      </c>
      <c r="G50" s="147" t="s">
        <v>213</v>
      </c>
    </row>
    <row r="51" spans="4:7" s="145" customFormat="1" ht="145.19999999999999">
      <c r="D51" s="145">
        <v>200</v>
      </c>
      <c r="E51" s="145" t="s">
        <v>261</v>
      </c>
      <c r="F51" s="146">
        <f t="shared" si="2"/>
        <v>200</v>
      </c>
      <c r="G51" s="147" t="s">
        <v>214</v>
      </c>
    </row>
    <row r="52" spans="4:7" s="145" customFormat="1" ht="145.19999999999999">
      <c r="D52" s="145">
        <v>300</v>
      </c>
      <c r="E52" s="145" t="s">
        <v>196</v>
      </c>
      <c r="F52" s="146">
        <f t="shared" si="2"/>
        <v>300</v>
      </c>
      <c r="G52" s="147" t="s">
        <v>215</v>
      </c>
    </row>
    <row r="53" spans="4:7" s="145" customFormat="1" ht="145.19999999999999">
      <c r="D53" s="145">
        <v>400</v>
      </c>
      <c r="E53" s="145" t="s">
        <v>197</v>
      </c>
      <c r="F53" s="146">
        <f t="shared" si="2"/>
        <v>400</v>
      </c>
      <c r="G53" s="147" t="s">
        <v>216</v>
      </c>
    </row>
    <row r="54" spans="4:7" s="145" customFormat="1" ht="145.19999999999999">
      <c r="D54" s="145">
        <v>500</v>
      </c>
      <c r="E54" s="145" t="s">
        <v>198</v>
      </c>
      <c r="F54" s="146">
        <f t="shared" si="2"/>
        <v>500</v>
      </c>
      <c r="G54" s="147" t="s">
        <v>218</v>
      </c>
    </row>
    <row r="55" spans="4:7" s="145" customFormat="1" ht="145.19999999999999">
      <c r="D55" s="145">
        <v>600</v>
      </c>
      <c r="E55" s="145" t="s">
        <v>199</v>
      </c>
      <c r="F55" s="146">
        <f t="shared" si="2"/>
        <v>600</v>
      </c>
      <c r="G55" s="147" t="s">
        <v>219</v>
      </c>
    </row>
    <row r="56" spans="4:7" s="145" customFormat="1" ht="145.19999999999999">
      <c r="D56" s="145">
        <v>800</v>
      </c>
      <c r="E56" s="145" t="s">
        <v>200</v>
      </c>
      <c r="F56" s="146">
        <f t="shared" si="2"/>
        <v>800</v>
      </c>
      <c r="G56" s="147" t="s">
        <v>217</v>
      </c>
    </row>
    <row r="57" spans="4:7" s="145" customFormat="1">
      <c r="D57" s="145">
        <v>1000</v>
      </c>
      <c r="E57" s="145" t="s">
        <v>177</v>
      </c>
      <c r="F57" s="146">
        <f t="shared" si="2"/>
        <v>1000</v>
      </c>
    </row>
    <row r="58" spans="4:7" s="145" customFormat="1"/>
    <row r="59" spans="4:7" s="145" customFormat="1"/>
  </sheetData>
  <sheetProtection sheet="1" objects="1" scenarios="1"/>
  <dataValidations count="3">
    <dataValidation type="list" allowBlank="1" showInputMessage="1" showErrorMessage="1" sqref="E8" xr:uid="{00000000-0002-0000-0500-000000000000}">
      <formula1>$J$6:$J$15</formula1>
    </dataValidation>
    <dataValidation type="list" allowBlank="1" showInputMessage="1" showErrorMessage="1" sqref="E7" xr:uid="{00000000-0002-0000-0500-000001000000}">
      <formula1>$J$1:$J$2</formula1>
    </dataValidation>
    <dataValidation type="list" allowBlank="1" showInputMessage="1" showErrorMessage="1" sqref="E25" xr:uid="{00000000-0002-0000-0500-000002000000}">
      <formula1>$O$7:$O$11</formula1>
    </dataValidation>
  </dataValidation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2">
    <outlinePr summaryBelow="0"/>
  </sheetPr>
  <dimension ref="A2:R79"/>
  <sheetViews>
    <sheetView zoomScale="75" workbookViewId="0">
      <selection activeCell="B45" sqref="B45"/>
    </sheetView>
  </sheetViews>
  <sheetFormatPr baseColWidth="10" defaultRowHeight="13.2" outlineLevelRow="1"/>
  <cols>
    <col min="4" max="4" width="13.33203125" customWidth="1"/>
    <col min="8" max="8" width="15.44140625" customWidth="1"/>
    <col min="9" max="9" width="16" customWidth="1"/>
    <col min="10" max="18" width="0" hidden="1" customWidth="1"/>
  </cols>
  <sheetData>
    <row r="2" spans="1:15">
      <c r="A2" s="26" t="s">
        <v>83</v>
      </c>
      <c r="C2" t="s">
        <v>66</v>
      </c>
      <c r="D2" s="44">
        <f>G18</f>
        <v>0</v>
      </c>
    </row>
    <row r="3" spans="1:15">
      <c r="C3" t="s">
        <v>67</v>
      </c>
      <c r="D3" s="44">
        <f>E53</f>
        <v>0</v>
      </c>
    </row>
    <row r="4" spans="1:15">
      <c r="C4" t="s">
        <v>68</v>
      </c>
      <c r="D4" s="44">
        <f>E68</f>
        <v>0</v>
      </c>
    </row>
    <row r="5" spans="1:15">
      <c r="C5" t="s">
        <v>84</v>
      </c>
      <c r="D5" s="44">
        <f>J73</f>
        <v>0</v>
      </c>
    </row>
    <row r="6" spans="1:15">
      <c r="C6" t="s">
        <v>85</v>
      </c>
      <c r="D6" s="49">
        <f>SUM(D2:D5)</f>
        <v>0</v>
      </c>
      <c r="E6" t="s">
        <v>86</v>
      </c>
    </row>
    <row r="9" spans="1:15" ht="15.6">
      <c r="A9" s="11" t="s">
        <v>481</v>
      </c>
      <c r="B9" s="12"/>
      <c r="C9" s="12"/>
      <c r="D9" s="12"/>
      <c r="E9" s="12"/>
      <c r="F9" s="12"/>
      <c r="G9" s="12"/>
      <c r="H9" s="12"/>
      <c r="I9" s="12"/>
      <c r="J9" s="12"/>
      <c r="K9" s="12"/>
      <c r="L9" s="12"/>
      <c r="M9" s="12"/>
      <c r="N9" s="12"/>
      <c r="O9" s="12"/>
    </row>
    <row r="10" spans="1:15" outlineLevel="1"/>
    <row r="11" spans="1:15" outlineLevel="1">
      <c r="B11" t="s">
        <v>11</v>
      </c>
    </row>
    <row r="12" spans="1:15" outlineLevel="1">
      <c r="B12" t="s">
        <v>81</v>
      </c>
      <c r="G12" s="42">
        <f>Varme!E4</f>
        <v>0</v>
      </c>
      <c r="H12" t="s">
        <v>3</v>
      </c>
    </row>
    <row r="13" spans="1:15" outlineLevel="1">
      <c r="B13" t="s">
        <v>12</v>
      </c>
      <c r="C13" t="s">
        <v>13</v>
      </c>
      <c r="G13" s="42">
        <f>SUM(C35:C38)</f>
        <v>0</v>
      </c>
      <c r="H13" t="s">
        <v>3</v>
      </c>
      <c r="J13" t="s">
        <v>14</v>
      </c>
      <c r="M13">
        <f>G18+G20</f>
        <v>0</v>
      </c>
    </row>
    <row r="14" spans="1:15" outlineLevel="1">
      <c r="B14" t="s">
        <v>15</v>
      </c>
      <c r="G14" s="43">
        <f>M14</f>
        <v>0</v>
      </c>
      <c r="H14" t="s">
        <v>3</v>
      </c>
      <c r="J14" t="s">
        <v>16</v>
      </c>
      <c r="M14">
        <f>SUM(O25:R31)</f>
        <v>0</v>
      </c>
    </row>
    <row r="15" spans="1:15" outlineLevel="1">
      <c r="B15" t="s">
        <v>17</v>
      </c>
      <c r="G15" s="242">
        <v>0</v>
      </c>
      <c r="H15" t="s">
        <v>3</v>
      </c>
      <c r="J15" t="s">
        <v>18</v>
      </c>
      <c r="M15">
        <f>SUM(C35:C38)</f>
        <v>0</v>
      </c>
    </row>
    <row r="16" spans="1:15" outlineLevel="1">
      <c r="B16" t="s">
        <v>19</v>
      </c>
      <c r="G16" s="242">
        <v>0</v>
      </c>
      <c r="H16" t="s">
        <v>3</v>
      </c>
    </row>
    <row r="17" spans="1:18" outlineLevel="1">
      <c r="B17" t="s">
        <v>20</v>
      </c>
      <c r="G17" s="243">
        <v>0</v>
      </c>
      <c r="H17" t="s">
        <v>3</v>
      </c>
    </row>
    <row r="18" spans="1:18" ht="13.8" outlineLevel="1" thickBot="1">
      <c r="B18" s="22" t="s">
        <v>21</v>
      </c>
      <c r="C18" s="23"/>
      <c r="D18" s="23"/>
      <c r="E18" s="23"/>
      <c r="F18" s="23"/>
      <c r="G18" s="24">
        <f>SUM(G12:G17)</f>
        <v>0</v>
      </c>
      <c r="H18" s="4" t="s">
        <v>3</v>
      </c>
    </row>
    <row r="19" spans="1:18" ht="13.8" outlineLevel="1" thickTop="1">
      <c r="B19" t="s">
        <v>22</v>
      </c>
    </row>
    <row r="20" spans="1:18" outlineLevel="1">
      <c r="B20" s="4" t="s">
        <v>23</v>
      </c>
      <c r="G20" s="21">
        <v>0</v>
      </c>
      <c r="H20" s="4" t="s">
        <v>3</v>
      </c>
    </row>
    <row r="21" spans="1:18" outlineLevel="1"/>
    <row r="22" spans="1:18" ht="13.8" outlineLevel="1" thickBot="1"/>
    <row r="23" spans="1:18" outlineLevel="1">
      <c r="B23" s="158" t="s">
        <v>24</v>
      </c>
      <c r="C23" s="159"/>
      <c r="D23" s="159"/>
      <c r="E23" s="159"/>
      <c r="F23" s="159"/>
      <c r="G23" s="151"/>
      <c r="H23" s="150" t="s">
        <v>270</v>
      </c>
      <c r="I23" s="151"/>
    </row>
    <row r="24" spans="1:18" outlineLevel="1">
      <c r="B24" s="152" t="s">
        <v>25</v>
      </c>
      <c r="C24" s="160" t="s">
        <v>26</v>
      </c>
      <c r="D24" s="161" t="s">
        <v>25</v>
      </c>
      <c r="E24" s="160" t="s">
        <v>26</v>
      </c>
      <c r="F24" s="161" t="s">
        <v>25</v>
      </c>
      <c r="G24" s="162" t="s">
        <v>26</v>
      </c>
      <c r="H24" s="152" t="s">
        <v>25</v>
      </c>
      <c r="I24" s="153" t="s">
        <v>271</v>
      </c>
    </row>
    <row r="25" spans="1:18" outlineLevel="1">
      <c r="A25" s="14"/>
      <c r="B25" s="244">
        <v>0</v>
      </c>
      <c r="C25" s="163">
        <v>15</v>
      </c>
      <c r="D25" s="164"/>
      <c r="E25" s="163"/>
      <c r="F25" s="164"/>
      <c r="G25" s="165"/>
      <c r="H25" s="154"/>
      <c r="I25" s="155"/>
      <c r="J25" s="14">
        <v>0.23499999999999999</v>
      </c>
      <c r="K25" s="14"/>
      <c r="L25" s="14"/>
      <c r="O25" s="14">
        <f>J25*B25</f>
        <v>0</v>
      </c>
      <c r="P25" s="14"/>
      <c r="Q25" s="14"/>
    </row>
    <row r="26" spans="1:18" outlineLevel="1">
      <c r="B26" s="245">
        <v>0</v>
      </c>
      <c r="C26" s="166">
        <v>20</v>
      </c>
      <c r="D26" s="247">
        <v>0</v>
      </c>
      <c r="E26" s="166">
        <v>80</v>
      </c>
      <c r="F26" s="247">
        <v>0</v>
      </c>
      <c r="G26" s="167">
        <v>250</v>
      </c>
      <c r="H26" s="245">
        <v>0</v>
      </c>
      <c r="I26" s="170" t="s">
        <v>272</v>
      </c>
      <c r="J26">
        <v>0.4</v>
      </c>
      <c r="K26">
        <v>5.4</v>
      </c>
      <c r="L26">
        <v>54.3</v>
      </c>
      <c r="M26">
        <v>7.9000000000000001E-2</v>
      </c>
      <c r="O26">
        <f t="shared" ref="O26:O31" si="0">B26*J26</f>
        <v>0</v>
      </c>
      <c r="P26">
        <f t="shared" ref="P26:P31" si="1">D26*K26</f>
        <v>0</v>
      </c>
      <c r="Q26">
        <f t="shared" ref="Q26:Q31" si="2">F26*L26</f>
        <v>0</v>
      </c>
      <c r="R26">
        <f>M26*H26</f>
        <v>0</v>
      </c>
    </row>
    <row r="27" spans="1:18" outlineLevel="1">
      <c r="B27" s="245">
        <v>0</v>
      </c>
      <c r="C27" s="166">
        <v>25</v>
      </c>
      <c r="D27" s="247">
        <v>0</v>
      </c>
      <c r="E27" s="166">
        <v>100</v>
      </c>
      <c r="F27" s="247"/>
      <c r="G27" s="167">
        <v>300</v>
      </c>
      <c r="H27" s="245">
        <v>0</v>
      </c>
      <c r="I27" s="170" t="s">
        <v>273</v>
      </c>
      <c r="J27">
        <v>0.6</v>
      </c>
      <c r="K27">
        <v>8.9</v>
      </c>
      <c r="L27">
        <v>76.8</v>
      </c>
      <c r="M27">
        <v>0.13300000000000001</v>
      </c>
      <c r="O27">
        <f t="shared" si="0"/>
        <v>0</v>
      </c>
      <c r="P27">
        <f t="shared" si="1"/>
        <v>0</v>
      </c>
      <c r="Q27">
        <f t="shared" si="2"/>
        <v>0</v>
      </c>
      <c r="R27">
        <f>M27*H27</f>
        <v>0</v>
      </c>
    </row>
    <row r="28" spans="1:18" outlineLevel="1">
      <c r="B28" s="245">
        <v>0</v>
      </c>
      <c r="C28" s="166">
        <v>32</v>
      </c>
      <c r="D28" s="247">
        <v>0</v>
      </c>
      <c r="E28" s="166">
        <v>125</v>
      </c>
      <c r="F28" s="247">
        <v>0</v>
      </c>
      <c r="G28" s="167">
        <v>350</v>
      </c>
      <c r="H28" s="245">
        <v>0</v>
      </c>
      <c r="I28" s="170" t="s">
        <v>274</v>
      </c>
      <c r="J28">
        <v>1.1000000000000001</v>
      </c>
      <c r="K28">
        <v>13.8</v>
      </c>
      <c r="L28">
        <v>93.2</v>
      </c>
      <c r="M28">
        <v>0.20100000000000001</v>
      </c>
      <c r="O28">
        <f t="shared" si="0"/>
        <v>0</v>
      </c>
      <c r="P28">
        <f t="shared" si="1"/>
        <v>0</v>
      </c>
      <c r="Q28">
        <f t="shared" si="2"/>
        <v>0</v>
      </c>
      <c r="R28">
        <f>M28*H28</f>
        <v>0</v>
      </c>
    </row>
    <row r="29" spans="1:18" outlineLevel="1">
      <c r="B29" s="245">
        <v>0</v>
      </c>
      <c r="C29" s="166">
        <v>40</v>
      </c>
      <c r="D29" s="247">
        <v>0</v>
      </c>
      <c r="E29" s="166">
        <v>150</v>
      </c>
      <c r="F29" s="247">
        <v>0</v>
      </c>
      <c r="G29" s="167">
        <v>400</v>
      </c>
      <c r="H29" s="245">
        <v>0</v>
      </c>
      <c r="I29" s="170" t="s">
        <v>275</v>
      </c>
      <c r="J29">
        <v>1.5</v>
      </c>
      <c r="K29">
        <v>20.2</v>
      </c>
      <c r="L29">
        <v>122</v>
      </c>
      <c r="M29">
        <v>0.49099999999999999</v>
      </c>
      <c r="O29">
        <f t="shared" si="0"/>
        <v>0</v>
      </c>
      <c r="P29">
        <f t="shared" si="1"/>
        <v>0</v>
      </c>
      <c r="Q29">
        <f t="shared" si="2"/>
        <v>0</v>
      </c>
      <c r="R29">
        <f>M29*H29</f>
        <v>0</v>
      </c>
    </row>
    <row r="30" spans="1:18" outlineLevel="1">
      <c r="B30" s="245">
        <v>0</v>
      </c>
      <c r="C30" s="166">
        <v>50</v>
      </c>
      <c r="D30" s="247">
        <v>0</v>
      </c>
      <c r="E30" s="166">
        <v>175</v>
      </c>
      <c r="F30" s="247">
        <v>0</v>
      </c>
      <c r="G30" s="167">
        <v>500</v>
      </c>
      <c r="H30" s="245">
        <v>0</v>
      </c>
      <c r="I30" s="156"/>
      <c r="J30">
        <v>2.2999999999999998</v>
      </c>
      <c r="K30">
        <v>26.8</v>
      </c>
      <c r="L30">
        <v>193</v>
      </c>
      <c r="O30">
        <f t="shared" si="0"/>
        <v>0</v>
      </c>
      <c r="P30">
        <f t="shared" si="1"/>
        <v>0</v>
      </c>
      <c r="Q30">
        <f t="shared" si="2"/>
        <v>0</v>
      </c>
    </row>
    <row r="31" spans="1:18" ht="13.8" outlineLevel="1" thickBot="1">
      <c r="B31" s="246">
        <v>0</v>
      </c>
      <c r="C31" s="168">
        <v>65</v>
      </c>
      <c r="D31" s="248">
        <v>0</v>
      </c>
      <c r="E31" s="168">
        <v>200</v>
      </c>
      <c r="F31" s="248">
        <v>0</v>
      </c>
      <c r="G31" s="169">
        <v>600</v>
      </c>
      <c r="H31" s="246">
        <v>0</v>
      </c>
      <c r="I31" s="157"/>
      <c r="J31">
        <v>3.9</v>
      </c>
      <c r="K31">
        <v>34.700000000000003</v>
      </c>
      <c r="L31">
        <v>277</v>
      </c>
      <c r="O31">
        <f t="shared" si="0"/>
        <v>0</v>
      </c>
      <c r="P31">
        <f t="shared" si="1"/>
        <v>0</v>
      </c>
      <c r="Q31">
        <f t="shared" si="2"/>
        <v>0</v>
      </c>
    </row>
    <row r="32" spans="1:18" outlineLevel="1"/>
    <row r="33" spans="1:14" outlineLevel="1">
      <c r="B33" s="4" t="s">
        <v>27</v>
      </c>
    </row>
    <row r="34" spans="1:14" outlineLevel="1"/>
    <row r="35" spans="1:14" outlineLevel="1">
      <c r="B35" t="s">
        <v>28</v>
      </c>
      <c r="C35" s="242">
        <v>0</v>
      </c>
      <c r="D35" s="15" t="s">
        <v>3</v>
      </c>
    </row>
    <row r="36" spans="1:14" outlineLevel="1">
      <c r="B36" t="s">
        <v>29</v>
      </c>
      <c r="C36" s="242">
        <v>0</v>
      </c>
      <c r="D36" s="15" t="s">
        <v>3</v>
      </c>
    </row>
    <row r="37" spans="1:14" outlineLevel="1">
      <c r="B37" t="s">
        <v>30</v>
      </c>
      <c r="C37" s="242">
        <v>0</v>
      </c>
      <c r="D37" s="15" t="s">
        <v>3</v>
      </c>
    </row>
    <row r="38" spans="1:14" outlineLevel="1">
      <c r="B38" t="s">
        <v>31</v>
      </c>
      <c r="C38" s="242">
        <v>0</v>
      </c>
      <c r="D38" s="15" t="s">
        <v>3</v>
      </c>
    </row>
    <row r="40" spans="1:14">
      <c r="B40" s="4"/>
      <c r="E40" t="s">
        <v>32</v>
      </c>
    </row>
    <row r="41" spans="1:14" ht="15.6">
      <c r="A41" s="11" t="s">
        <v>47</v>
      </c>
      <c r="B41" s="4"/>
    </row>
    <row r="42" spans="1:14" outlineLevel="1">
      <c r="B42" s="4"/>
      <c r="F42" s="8"/>
    </row>
    <row r="43" spans="1:14" outlineLevel="1">
      <c r="B43" s="1" t="s">
        <v>33</v>
      </c>
      <c r="C43" s="1" t="s">
        <v>34</v>
      </c>
      <c r="D43" s="1" t="s">
        <v>35</v>
      </c>
      <c r="J43" s="14" t="s">
        <v>36</v>
      </c>
      <c r="K43" s="14"/>
      <c r="L43" s="9">
        <f>B48+C48/0.86+D48*8/0.86</f>
        <v>0</v>
      </c>
      <c r="M43" s="14"/>
      <c r="N43" s="14" t="s">
        <v>33</v>
      </c>
    </row>
    <row r="44" spans="1:14" outlineLevel="1">
      <c r="A44" t="s">
        <v>37</v>
      </c>
      <c r="B44" s="242">
        <v>0</v>
      </c>
      <c r="C44" s="242">
        <v>0</v>
      </c>
      <c r="D44" s="242">
        <v>0</v>
      </c>
    </row>
    <row r="45" spans="1:14" outlineLevel="1">
      <c r="A45" t="s">
        <v>29</v>
      </c>
      <c r="B45" s="242">
        <v>0</v>
      </c>
      <c r="C45" s="242">
        <v>0</v>
      </c>
      <c r="D45" s="242">
        <v>0</v>
      </c>
    </row>
    <row r="46" spans="1:14" outlineLevel="1">
      <c r="A46" t="s">
        <v>30</v>
      </c>
      <c r="B46" s="242">
        <v>0</v>
      </c>
      <c r="C46" s="242">
        <v>0</v>
      </c>
      <c r="D46" s="242">
        <v>0</v>
      </c>
    </row>
    <row r="47" spans="1:14" outlineLevel="1">
      <c r="A47" t="s">
        <v>31</v>
      </c>
      <c r="B47" s="243">
        <v>0</v>
      </c>
      <c r="C47" s="243">
        <v>0</v>
      </c>
      <c r="D47" s="243">
        <v>0</v>
      </c>
    </row>
    <row r="48" spans="1:14" outlineLevel="1">
      <c r="A48" t="s">
        <v>38</v>
      </c>
      <c r="B48" s="13">
        <f>SUM(B44:B47)</f>
        <v>0</v>
      </c>
      <c r="C48" s="13">
        <f>SUM(C44:C47)</f>
        <v>0</v>
      </c>
      <c r="D48" s="13">
        <f>SUM(D44:D47)</f>
        <v>0</v>
      </c>
    </row>
    <row r="49" spans="1:14" outlineLevel="1"/>
    <row r="50" spans="1:14" outlineLevel="1">
      <c r="A50" t="s">
        <v>39</v>
      </c>
      <c r="E50" s="7">
        <f>J50*$L$43</f>
        <v>0</v>
      </c>
      <c r="J50">
        <f>(0.86*1000*2)/450</f>
        <v>3.8222222222222224</v>
      </c>
      <c r="K50" t="s">
        <v>82</v>
      </c>
    </row>
    <row r="51" spans="1:14" outlineLevel="1">
      <c r="A51" t="s">
        <v>40</v>
      </c>
      <c r="E51" s="7">
        <f>J51*$L$43</f>
        <v>0</v>
      </c>
      <c r="J51">
        <f>1000*0.7/100</f>
        <v>7</v>
      </c>
      <c r="K51" t="s">
        <v>82</v>
      </c>
    </row>
    <row r="52" spans="1:14" outlineLevel="1">
      <c r="A52" t="s">
        <v>41</v>
      </c>
      <c r="E52" s="7">
        <f>J52*$L$43</f>
        <v>0</v>
      </c>
      <c r="J52">
        <f>0.86*1000*25/8000</f>
        <v>2.6875</v>
      </c>
      <c r="K52" t="s">
        <v>82</v>
      </c>
    </row>
    <row r="53" spans="1:14" outlineLevel="1">
      <c r="A53" s="4" t="s">
        <v>42</v>
      </c>
      <c r="E53" s="16">
        <f>SUM(E50:E52)</f>
        <v>0</v>
      </c>
    </row>
    <row r="55" spans="1:14">
      <c r="E55" t="s">
        <v>43</v>
      </c>
    </row>
    <row r="56" spans="1:14" ht="15.6">
      <c r="A56" s="11" t="s">
        <v>48</v>
      </c>
      <c r="B56" s="4"/>
    </row>
    <row r="57" spans="1:14" outlineLevel="1">
      <c r="B57" s="4"/>
      <c r="F57" s="8"/>
    </row>
    <row r="58" spans="1:14" outlineLevel="1">
      <c r="B58" s="1" t="s">
        <v>33</v>
      </c>
      <c r="C58" s="1" t="s">
        <v>34</v>
      </c>
      <c r="D58" s="1" t="s">
        <v>35</v>
      </c>
      <c r="J58" s="14" t="s">
        <v>36</v>
      </c>
      <c r="K58" s="14"/>
      <c r="L58" s="9">
        <f>B63+C63/0.86+D63*8/0.86</f>
        <v>0</v>
      </c>
      <c r="M58" s="14"/>
      <c r="N58" s="14" t="s">
        <v>33</v>
      </c>
    </row>
    <row r="59" spans="1:14" outlineLevel="1">
      <c r="A59" t="s">
        <v>37</v>
      </c>
      <c r="B59" s="242">
        <v>0</v>
      </c>
      <c r="C59" s="242">
        <v>0</v>
      </c>
      <c r="D59" s="242">
        <v>0</v>
      </c>
      <c r="J59" t="s">
        <v>44</v>
      </c>
      <c r="L59">
        <f>L58*0.8</f>
        <v>0</v>
      </c>
    </row>
    <row r="60" spans="1:14" outlineLevel="1">
      <c r="A60" t="s">
        <v>29</v>
      </c>
      <c r="B60" s="242">
        <v>0</v>
      </c>
      <c r="C60" s="242">
        <v>0</v>
      </c>
      <c r="D60" s="242">
        <v>0</v>
      </c>
    </row>
    <row r="61" spans="1:14" outlineLevel="1">
      <c r="A61" t="s">
        <v>30</v>
      </c>
      <c r="B61" s="242">
        <v>0</v>
      </c>
      <c r="C61" s="242">
        <v>0</v>
      </c>
      <c r="D61" s="242">
        <v>0</v>
      </c>
    </row>
    <row r="62" spans="1:14" outlineLevel="1">
      <c r="A62" t="s">
        <v>31</v>
      </c>
      <c r="B62" s="243">
        <v>0</v>
      </c>
      <c r="C62" s="243">
        <v>0</v>
      </c>
      <c r="D62" s="243">
        <v>0</v>
      </c>
    </row>
    <row r="63" spans="1:14" outlineLevel="1">
      <c r="A63" t="s">
        <v>38</v>
      </c>
      <c r="B63" s="13">
        <f>SUM(B59:B62)</f>
        <v>0</v>
      </c>
      <c r="C63" s="13">
        <f>SUM(C59:C62)</f>
        <v>0</v>
      </c>
      <c r="D63" s="13">
        <f>SUM(D59:D62)</f>
        <v>0</v>
      </c>
    </row>
    <row r="64" spans="1:14" outlineLevel="1"/>
    <row r="65" spans="1:11" outlineLevel="1">
      <c r="A65" t="s">
        <v>39</v>
      </c>
      <c r="E65" s="7">
        <f>J65*$L$59</f>
        <v>0</v>
      </c>
      <c r="J65">
        <f>(0.86*1000*2)/450</f>
        <v>3.8222222222222224</v>
      </c>
      <c r="K65" t="s">
        <v>82</v>
      </c>
    </row>
    <row r="66" spans="1:11" outlineLevel="1">
      <c r="A66" t="s">
        <v>40</v>
      </c>
      <c r="E66" s="7">
        <f>J66*$L$59</f>
        <v>0</v>
      </c>
      <c r="J66">
        <f>1000*0.7/100</f>
        <v>7</v>
      </c>
      <c r="K66" t="s">
        <v>82</v>
      </c>
    </row>
    <row r="67" spans="1:11" outlineLevel="1">
      <c r="A67" t="s">
        <v>41</v>
      </c>
      <c r="E67" s="7">
        <f>J67*$L$59</f>
        <v>0</v>
      </c>
      <c r="J67">
        <f>0.86*1000*25/8000</f>
        <v>2.6875</v>
      </c>
      <c r="K67" t="s">
        <v>82</v>
      </c>
    </row>
    <row r="68" spans="1:11" outlineLevel="1">
      <c r="A68" s="4" t="s">
        <v>42</v>
      </c>
      <c r="E68" s="16">
        <f>SUM(E65:E67)</f>
        <v>0</v>
      </c>
    </row>
    <row r="70" spans="1:11">
      <c r="E70" t="s">
        <v>45</v>
      </c>
    </row>
    <row r="71" spans="1:11" ht="15.6">
      <c r="A71" s="11" t="s">
        <v>49</v>
      </c>
    </row>
    <row r="72" spans="1:11" outlineLevel="1">
      <c r="J72" s="14" t="s">
        <v>2</v>
      </c>
    </row>
    <row r="73" spans="1:11" ht="13.8" outlineLevel="1">
      <c r="A73" s="5" t="s">
        <v>1</v>
      </c>
      <c r="J73" s="7">
        <f>(D75+D78)*0.33/0.05</f>
        <v>0</v>
      </c>
      <c r="K73" t="s">
        <v>3</v>
      </c>
    </row>
    <row r="74" spans="1:11" outlineLevel="1">
      <c r="A74" s="1" t="s">
        <v>4</v>
      </c>
      <c r="B74" s="1" t="s">
        <v>5</v>
      </c>
      <c r="D74" s="1" t="s">
        <v>6</v>
      </c>
    </row>
    <row r="75" spans="1:11" outlineLevel="1">
      <c r="A75" s="242">
        <v>0</v>
      </c>
      <c r="B75" s="242">
        <v>0</v>
      </c>
      <c r="D75" s="7">
        <f>(A75*A75*(3.14/4)*100)*B75*10</f>
        <v>0</v>
      </c>
    </row>
    <row r="76" spans="1:11" ht="13.8" outlineLevel="1">
      <c r="A76" s="5" t="s">
        <v>7</v>
      </c>
    </row>
    <row r="77" spans="1:11" outlineLevel="1">
      <c r="A77" t="s">
        <v>8</v>
      </c>
      <c r="B77" t="s">
        <v>9</v>
      </c>
      <c r="C77" s="1" t="s">
        <v>5</v>
      </c>
      <c r="D77" s="1" t="s">
        <v>6</v>
      </c>
    </row>
    <row r="78" spans="1:11" outlineLevel="1">
      <c r="A78" s="242">
        <v>0</v>
      </c>
      <c r="B78" s="242">
        <v>0</v>
      </c>
      <c r="C78" s="242">
        <v>0</v>
      </c>
      <c r="D78">
        <f>(A78*B78*C78)*1000</f>
        <v>0</v>
      </c>
    </row>
    <row r="79" spans="1:11" ht="22.8">
      <c r="B79" s="2"/>
      <c r="C79" s="2"/>
      <c r="D79" s="3"/>
    </row>
  </sheetData>
  <sheetProtection sheet="1" objects="1" scenarios="1"/>
  <phoneticPr fontId="0" type="noConversion"/>
  <pageMargins left="0.78740157499999996" right="0.78740157499999996" top="0.984251969" bottom="0.984251969" header="0.5" footer="0.5"/>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4"/>
  <dimension ref="A1:AI75"/>
  <sheetViews>
    <sheetView zoomScale="70" zoomScaleNormal="70" workbookViewId="0">
      <selection activeCell="L7" sqref="L7"/>
    </sheetView>
  </sheetViews>
  <sheetFormatPr baseColWidth="10" defaultRowHeight="13.2"/>
  <cols>
    <col min="1" max="1" width="18.5546875" bestFit="1" customWidth="1"/>
    <col min="4" max="4" width="16.33203125" bestFit="1" customWidth="1"/>
    <col min="5" max="5" width="5.6640625" bestFit="1" customWidth="1"/>
    <col min="8" max="8" width="18.6640625" customWidth="1"/>
    <col min="10" max="10" width="68" customWidth="1"/>
    <col min="14" max="14" width="16.109375" customWidth="1"/>
    <col min="15" max="15" width="55.6640625" customWidth="1"/>
    <col min="19" max="19" width="23" bestFit="1" customWidth="1"/>
    <col min="28" max="31" width="16.33203125" bestFit="1" customWidth="1"/>
    <col min="32" max="32" width="16.33203125" customWidth="1"/>
  </cols>
  <sheetData>
    <row r="1" spans="1:35" ht="12" customHeight="1"/>
    <row r="2" spans="1:35" ht="12" customHeight="1">
      <c r="A2" t="s">
        <v>94</v>
      </c>
      <c r="D2" s="44">
        <f>vannmengde</f>
        <v>0</v>
      </c>
      <c r="E2" t="s">
        <v>3</v>
      </c>
      <c r="K2" t="s">
        <v>130</v>
      </c>
      <c r="L2">
        <v>3</v>
      </c>
    </row>
    <row r="3" spans="1:35" ht="12" customHeight="1">
      <c r="A3" t="s">
        <v>77</v>
      </c>
      <c r="D3" s="35" t="str">
        <f>Varme!E7</f>
        <v>Vann</v>
      </c>
      <c r="K3" t="s">
        <v>131</v>
      </c>
      <c r="L3">
        <v>4</v>
      </c>
    </row>
    <row r="4" spans="1:35" ht="12" customHeight="1">
      <c r="A4" t="s">
        <v>51</v>
      </c>
      <c r="D4" s="35">
        <f>Varme!E8</f>
        <v>70</v>
      </c>
      <c r="E4" t="s">
        <v>52</v>
      </c>
      <c r="G4">
        <f>VLOOKUP(D4,Data!A2:F27,L7)*D2+MAXA(D2*0.005,3)</f>
        <v>3</v>
      </c>
      <c r="H4" s="14" t="s">
        <v>267</v>
      </c>
      <c r="K4" t="s">
        <v>132</v>
      </c>
      <c r="L4">
        <v>5</v>
      </c>
    </row>
    <row r="5" spans="1:35" ht="12" customHeight="1">
      <c r="A5" t="s">
        <v>79</v>
      </c>
      <c r="D5" s="40">
        <f>IF(Varme!E10="Ja",Ekspansjon!G4,Ekspansjon!G5)</f>
        <v>3</v>
      </c>
      <c r="E5" t="s">
        <v>3</v>
      </c>
      <c r="G5" s="40">
        <f>VLOOKUP(D4,Data!A2:F27,L7)*D2</f>
        <v>0</v>
      </c>
      <c r="H5" s="14" t="s">
        <v>268</v>
      </c>
      <c r="K5" t="s">
        <v>190</v>
      </c>
      <c r="L5">
        <v>6</v>
      </c>
    </row>
    <row r="6" spans="1:35" ht="12" customHeight="1">
      <c r="K6" t="s">
        <v>0</v>
      </c>
      <c r="L6">
        <v>2</v>
      </c>
    </row>
    <row r="7" spans="1:35" ht="12" customHeight="1">
      <c r="A7" t="s">
        <v>87</v>
      </c>
      <c r="D7" s="101">
        <v>5</v>
      </c>
      <c r="E7" t="s">
        <v>57</v>
      </c>
      <c r="K7" t="s">
        <v>78</v>
      </c>
      <c r="L7">
        <f>VLOOKUP(D3,K2:L6,2)</f>
        <v>2</v>
      </c>
    </row>
    <row r="8" spans="1:35" ht="12" customHeight="1">
      <c r="A8" t="s">
        <v>88</v>
      </c>
      <c r="D8" s="28">
        <v>2</v>
      </c>
      <c r="E8" t="s">
        <v>57</v>
      </c>
    </row>
    <row r="9" spans="1:35" ht="12" customHeight="1"/>
    <row r="10" spans="1:35" ht="12" customHeight="1">
      <c r="A10" s="4" t="s">
        <v>155</v>
      </c>
      <c r="D10" s="83">
        <f>Varme!E12</f>
        <v>10</v>
      </c>
      <c r="E10" t="s">
        <v>57</v>
      </c>
      <c r="N10" t="s">
        <v>177</v>
      </c>
      <c r="T10">
        <v>2</v>
      </c>
      <c r="U10">
        <v>3</v>
      </c>
      <c r="V10">
        <v>4</v>
      </c>
      <c r="W10">
        <v>5</v>
      </c>
      <c r="X10">
        <v>6</v>
      </c>
      <c r="Y10">
        <v>7</v>
      </c>
      <c r="AB10">
        <v>2</v>
      </c>
      <c r="AC10">
        <v>3</v>
      </c>
      <c r="AD10">
        <v>4</v>
      </c>
      <c r="AE10">
        <v>5</v>
      </c>
      <c r="AF10">
        <v>6</v>
      </c>
      <c r="AG10">
        <v>7</v>
      </c>
    </row>
    <row r="11" spans="1:35" ht="12" customHeight="1">
      <c r="A11" s="4" t="s">
        <v>154</v>
      </c>
      <c r="D11" s="83">
        <f>Varme!E13</f>
        <v>30</v>
      </c>
      <c r="E11" t="s">
        <v>57</v>
      </c>
      <c r="K11">
        <v>0</v>
      </c>
      <c r="L11" t="str">
        <f>CONCATENATE("N ",K12)</f>
        <v>N 8</v>
      </c>
      <c r="N11" t="s">
        <v>202</v>
      </c>
      <c r="O11" t="str">
        <f t="shared" ref="O11:O25" si="0">CONCATENATE("Reflex Refix ",N11," liter. 10 bar")</f>
        <v>Reflex Refix DE 100 liter. 10 bar</v>
      </c>
      <c r="P11">
        <v>1</v>
      </c>
      <c r="S11" s="57" t="s">
        <v>151</v>
      </c>
      <c r="T11" s="32" t="s">
        <v>162</v>
      </c>
      <c r="U11" s="32" t="s">
        <v>163</v>
      </c>
      <c r="V11" s="32" t="s">
        <v>152</v>
      </c>
      <c r="W11" s="32" t="s">
        <v>153</v>
      </c>
      <c r="X11" s="32" t="s">
        <v>399</v>
      </c>
      <c r="Y11" s="32" t="s">
        <v>400</v>
      </c>
      <c r="Z11" s="53"/>
      <c r="AB11" s="32" t="s">
        <v>162</v>
      </c>
      <c r="AC11" s="32" t="s">
        <v>163</v>
      </c>
      <c r="AD11" s="32" t="s">
        <v>152</v>
      </c>
      <c r="AE11" s="32" t="s">
        <v>153</v>
      </c>
      <c r="AF11" s="32" t="s">
        <v>399</v>
      </c>
      <c r="AG11" s="32" t="s">
        <v>400</v>
      </c>
      <c r="AI11" s="52"/>
    </row>
    <row r="12" spans="1:35" ht="12" customHeight="1">
      <c r="A12" s="4"/>
      <c r="D12" s="35"/>
      <c r="K12">
        <v>8</v>
      </c>
      <c r="L12" t="str">
        <f t="shared" ref="L12:L27" si="1">CONCATENATE("N ",K13)</f>
        <v>N 12</v>
      </c>
      <c r="N12" t="s">
        <v>200</v>
      </c>
      <c r="O12" t="str">
        <f t="shared" si="0"/>
        <v>Reflex Refix DE 1000 liter. 10 bar</v>
      </c>
      <c r="P12" s="149" t="s">
        <v>264</v>
      </c>
      <c r="S12" s="51"/>
      <c r="T12" s="56">
        <v>0.5</v>
      </c>
      <c r="U12" s="56">
        <v>0.75</v>
      </c>
      <c r="V12" s="56">
        <v>1</v>
      </c>
      <c r="W12" s="56">
        <v>1.25</v>
      </c>
      <c r="X12" s="56">
        <v>1.5</v>
      </c>
      <c r="Y12" s="56">
        <v>2</v>
      </c>
      <c r="Z12" s="56"/>
      <c r="AB12" s="56">
        <v>0.5</v>
      </c>
      <c r="AC12" s="56">
        <v>0.75</v>
      </c>
      <c r="AD12" s="56">
        <v>1</v>
      </c>
      <c r="AE12" s="56">
        <v>1.25</v>
      </c>
      <c r="AF12" s="56">
        <v>1.5</v>
      </c>
      <c r="AG12" s="52">
        <v>2</v>
      </c>
      <c r="AH12" s="32" t="s">
        <v>162</v>
      </c>
      <c r="AI12" s="52">
        <v>0.5</v>
      </c>
    </row>
    <row r="13" spans="1:35" ht="12" customHeight="1">
      <c r="A13" s="4" t="s">
        <v>109</v>
      </c>
      <c r="D13" s="35"/>
      <c r="K13">
        <v>12</v>
      </c>
      <c r="L13" t="str">
        <f t="shared" si="1"/>
        <v>N 18</v>
      </c>
      <c r="N13" t="s">
        <v>192</v>
      </c>
      <c r="O13" t="str">
        <f t="shared" si="0"/>
        <v>Reflex Refix DE 12 liter. 10 bar</v>
      </c>
      <c r="P13" s="48" t="s">
        <v>128</v>
      </c>
      <c r="S13" s="54">
        <v>15</v>
      </c>
      <c r="T13" s="7">
        <v>36</v>
      </c>
      <c r="U13" s="7">
        <v>72</v>
      </c>
      <c r="V13" s="7">
        <v>144</v>
      </c>
      <c r="W13" s="7">
        <v>252</v>
      </c>
      <c r="X13" s="7">
        <v>433</v>
      </c>
      <c r="Y13" s="7">
        <v>650</v>
      </c>
      <c r="Z13">
        <f t="shared" ref="Z13:Z19" si="2">S13</f>
        <v>15</v>
      </c>
      <c r="AA13">
        <f>S13</f>
        <v>15</v>
      </c>
      <c r="AB13" s="14"/>
      <c r="AH13" s="32" t="s">
        <v>153</v>
      </c>
      <c r="AI13">
        <v>1.25</v>
      </c>
    </row>
    <row r="14" spans="1:35" ht="12" customHeight="1">
      <c r="A14" s="46" t="s">
        <v>10</v>
      </c>
      <c r="D14" s="10">
        <f>((D11-D7)+10-(D10+(10+D8)))/((D11-D7)+10)</f>
        <v>0.37142857142857144</v>
      </c>
      <c r="K14">
        <v>18</v>
      </c>
      <c r="L14" t="str">
        <f t="shared" si="1"/>
        <v>N 25</v>
      </c>
      <c r="N14" t="s">
        <v>193</v>
      </c>
      <c r="O14" t="str">
        <f t="shared" si="0"/>
        <v>Reflex Refix DE 18 liter. 10 bar</v>
      </c>
      <c r="P14" s="48" t="s">
        <v>128</v>
      </c>
      <c r="S14" s="54">
        <v>20</v>
      </c>
      <c r="T14" s="7">
        <v>43</v>
      </c>
      <c r="U14" s="7">
        <v>86</v>
      </c>
      <c r="V14" s="7">
        <v>172</v>
      </c>
      <c r="W14" s="7">
        <v>302</v>
      </c>
      <c r="X14" s="7">
        <v>518</v>
      </c>
      <c r="Y14" s="7">
        <v>778</v>
      </c>
      <c r="Z14">
        <f t="shared" si="2"/>
        <v>20</v>
      </c>
      <c r="AA14">
        <f t="shared" ref="AA14:AA19" si="3">S14</f>
        <v>20</v>
      </c>
      <c r="AB14" s="14" t="s">
        <v>408</v>
      </c>
      <c r="AD14" s="14" t="s">
        <v>412</v>
      </c>
      <c r="AH14" s="32" t="s">
        <v>399</v>
      </c>
      <c r="AI14">
        <v>1.5</v>
      </c>
    </row>
    <row r="15" spans="1:35" ht="12" customHeight="1">
      <c r="A15" s="46" t="s">
        <v>95</v>
      </c>
      <c r="D15" s="44">
        <f>D5/D14</f>
        <v>8.0769230769230766</v>
      </c>
      <c r="K15">
        <v>25</v>
      </c>
      <c r="L15" t="s">
        <v>139</v>
      </c>
      <c r="N15" t="s">
        <v>195</v>
      </c>
      <c r="O15" t="str">
        <f t="shared" si="0"/>
        <v>Reflex Refix DE 200 liter. 10 bar</v>
      </c>
      <c r="P15" s="148" t="s">
        <v>263</v>
      </c>
      <c r="S15" s="54">
        <v>25</v>
      </c>
      <c r="T15" s="7">
        <v>50</v>
      </c>
      <c r="U15" s="7">
        <v>100</v>
      </c>
      <c r="V15" s="7">
        <v>200</v>
      </c>
      <c r="W15" s="7">
        <v>350</v>
      </c>
      <c r="X15" s="7">
        <v>600</v>
      </c>
      <c r="Y15" s="7">
        <v>900</v>
      </c>
      <c r="Z15">
        <f t="shared" si="2"/>
        <v>25</v>
      </c>
      <c r="AA15">
        <f t="shared" si="3"/>
        <v>25</v>
      </c>
      <c r="AB15" s="14" t="s">
        <v>403</v>
      </c>
      <c r="AC15" s="14" t="s">
        <v>409</v>
      </c>
      <c r="AD15" s="14" t="s">
        <v>413</v>
      </c>
      <c r="AE15" s="14" t="s">
        <v>426</v>
      </c>
      <c r="AF15" s="14" t="s">
        <v>418</v>
      </c>
      <c r="AG15" s="14" t="s">
        <v>421</v>
      </c>
      <c r="AH15" s="32" t="s">
        <v>152</v>
      </c>
      <c r="AI15">
        <v>1</v>
      </c>
    </row>
    <row r="16" spans="1:35" ht="12" customHeight="1">
      <c r="A16" s="46" t="s">
        <v>110</v>
      </c>
      <c r="D16" s="41" t="str">
        <f>IF(Varme!E7="vann",LOOKUP(D15,K11:L28),LOOKUP(Ekspansjon!D15,Ekspansjon!K30:L45))</f>
        <v>N 12</v>
      </c>
      <c r="F16" t="str">
        <f>IF(D16=N10,"",VLOOKUP(D16,N11:O42,2))</f>
        <v>REFLEX trykkekspansjonskar type N 12 / 1,5 dia 272 mm, høyde 315 mm, vekt 2,6kg. 
NRF nr. 840 06 58</v>
      </c>
      <c r="K16">
        <v>35</v>
      </c>
      <c r="L16" t="str">
        <f>CONCATENATE("NG ",K17)</f>
        <v>NG 50</v>
      </c>
      <c r="N16" t="s">
        <v>194</v>
      </c>
      <c r="O16" t="str">
        <f t="shared" si="0"/>
        <v>Reflex Refix DE 25 liter. 10 bar</v>
      </c>
      <c r="P16" s="48" t="s">
        <v>128</v>
      </c>
      <c r="S16" s="54">
        <v>30</v>
      </c>
      <c r="T16" s="7">
        <v>56</v>
      </c>
      <c r="U16" s="7">
        <v>112</v>
      </c>
      <c r="V16" s="7">
        <v>224</v>
      </c>
      <c r="W16" s="7">
        <v>395</v>
      </c>
      <c r="X16" s="7">
        <v>678</v>
      </c>
      <c r="Y16" s="7">
        <v>1017</v>
      </c>
      <c r="Z16">
        <f t="shared" si="2"/>
        <v>30</v>
      </c>
      <c r="AA16">
        <f t="shared" si="3"/>
        <v>30</v>
      </c>
      <c r="AB16" s="14" t="s">
        <v>404</v>
      </c>
      <c r="AC16" s="14" t="s">
        <v>410</v>
      </c>
      <c r="AD16" s="14" t="s">
        <v>414</v>
      </c>
      <c r="AE16" s="14" t="s">
        <v>427</v>
      </c>
      <c r="AF16" s="14" t="s">
        <v>432</v>
      </c>
      <c r="AG16" s="14" t="s">
        <v>423</v>
      </c>
      <c r="AH16" s="32" t="s">
        <v>400</v>
      </c>
      <c r="AI16" s="14">
        <v>2</v>
      </c>
    </row>
    <row r="17" spans="1:35" ht="12" customHeight="1">
      <c r="A17" s="4" t="s">
        <v>129</v>
      </c>
      <c r="D17" s="32" t="str">
        <f>CONCATENATE(VLOOKUP(D16,N10:P42,3),"")</f>
        <v>3 / 4</v>
      </c>
      <c r="F17" t="str">
        <f>IF(F16="","",(VLOOKUP(D17,N71:O72,2)))</f>
        <v>3 / 4 '' serviceventil for ekspansjonskar med avtapping. NRF nr. 840 08 15</v>
      </c>
      <c r="K17">
        <v>50</v>
      </c>
      <c r="L17" t="str">
        <f>CONCATENATE("NG ",K18)</f>
        <v>NG 80</v>
      </c>
      <c r="N17" t="s">
        <v>261</v>
      </c>
      <c r="O17" t="str">
        <f t="shared" si="0"/>
        <v>Reflex Refix DE 300 liter. 10 bar</v>
      </c>
      <c r="P17" s="148" t="s">
        <v>263</v>
      </c>
      <c r="S17" s="54">
        <v>40</v>
      </c>
      <c r="T17" s="7">
        <v>70</v>
      </c>
      <c r="U17" s="7">
        <v>140</v>
      </c>
      <c r="V17" s="7">
        <v>280</v>
      </c>
      <c r="W17" s="7">
        <v>490</v>
      </c>
      <c r="X17" s="7">
        <v>840</v>
      </c>
      <c r="Y17" s="7">
        <v>1260</v>
      </c>
      <c r="Z17">
        <f t="shared" si="2"/>
        <v>40</v>
      </c>
      <c r="AA17">
        <f t="shared" si="3"/>
        <v>40</v>
      </c>
      <c r="AB17" s="14" t="s">
        <v>405</v>
      </c>
      <c r="AC17" s="14" t="s">
        <v>411</v>
      </c>
      <c r="AD17" s="14" t="s">
        <v>415</v>
      </c>
      <c r="AE17" s="14" t="s">
        <v>428</v>
      </c>
      <c r="AF17" s="14" t="s">
        <v>419</v>
      </c>
      <c r="AG17" s="14" t="s">
        <v>422</v>
      </c>
      <c r="AH17" s="32" t="s">
        <v>163</v>
      </c>
      <c r="AI17">
        <v>0.75</v>
      </c>
    </row>
    <row r="18" spans="1:35" ht="12" customHeight="1">
      <c r="A18" s="4"/>
      <c r="K18">
        <v>80</v>
      </c>
      <c r="L18" t="str">
        <f>CONCATENATE("NG ",K19)</f>
        <v>NG 100</v>
      </c>
      <c r="N18" t="s">
        <v>208</v>
      </c>
      <c r="O18" t="str">
        <f t="shared" si="0"/>
        <v>Reflex Refix DE 33 liter. 10 bar</v>
      </c>
      <c r="P18" s="48" t="s">
        <v>128</v>
      </c>
      <c r="S18" s="54">
        <v>50</v>
      </c>
      <c r="T18" s="7">
        <v>84</v>
      </c>
      <c r="U18" s="7">
        <v>168</v>
      </c>
      <c r="V18" s="7">
        <v>336</v>
      </c>
      <c r="W18" s="7">
        <v>588</v>
      </c>
      <c r="X18" s="7">
        <v>1008</v>
      </c>
      <c r="Y18" s="7">
        <v>1512</v>
      </c>
      <c r="Z18">
        <f t="shared" si="2"/>
        <v>50</v>
      </c>
      <c r="AA18">
        <f t="shared" si="3"/>
        <v>50</v>
      </c>
      <c r="AB18" s="14" t="s">
        <v>406</v>
      </c>
      <c r="AC18" s="14"/>
      <c r="AD18" s="14" t="s">
        <v>416</v>
      </c>
      <c r="AE18" s="14" t="s">
        <v>429</v>
      </c>
      <c r="AG18" s="14" t="s">
        <v>424</v>
      </c>
      <c r="AH18" s="197" t="s">
        <v>402</v>
      </c>
      <c r="AI18" s="14" t="s">
        <v>401</v>
      </c>
    </row>
    <row r="19" spans="1:35" ht="12" customHeight="1">
      <c r="A19" s="4"/>
      <c r="K19">
        <v>100</v>
      </c>
      <c r="L19" t="str">
        <f>CONCATENATE("NG ",K20)</f>
        <v>NG 140</v>
      </c>
      <c r="N19" t="s">
        <v>196</v>
      </c>
      <c r="O19" t="str">
        <f t="shared" si="0"/>
        <v>Reflex Refix DE 400 liter. 10 bar</v>
      </c>
      <c r="P19" s="148" t="s">
        <v>263</v>
      </c>
      <c r="S19" s="55">
        <v>60</v>
      </c>
      <c r="T19" s="7">
        <v>94</v>
      </c>
      <c r="U19" s="7">
        <v>189</v>
      </c>
      <c r="V19" s="7">
        <v>379</v>
      </c>
      <c r="W19" s="7">
        <v>660</v>
      </c>
      <c r="X19" s="7">
        <v>1140</v>
      </c>
      <c r="Y19" s="7">
        <v>1700</v>
      </c>
      <c r="Z19">
        <f t="shared" si="2"/>
        <v>60</v>
      </c>
      <c r="AA19">
        <f t="shared" si="3"/>
        <v>60</v>
      </c>
      <c r="AB19" s="14" t="s">
        <v>407</v>
      </c>
      <c r="AC19" s="14" t="s">
        <v>411</v>
      </c>
      <c r="AD19" s="14" t="s">
        <v>417</v>
      </c>
      <c r="AE19" s="14" t="s">
        <v>430</v>
      </c>
      <c r="AF19" s="14" t="s">
        <v>420</v>
      </c>
      <c r="AG19" s="14" t="s">
        <v>425</v>
      </c>
    </row>
    <row r="20" spans="1:35" ht="12" customHeight="1" thickBot="1">
      <c r="K20">
        <v>140</v>
      </c>
      <c r="L20" t="str">
        <f t="shared" si="1"/>
        <v>N 200</v>
      </c>
      <c r="N20" t="s">
        <v>197</v>
      </c>
      <c r="O20" t="str">
        <f t="shared" si="0"/>
        <v>Reflex Refix DE 500 liter. 10 bar</v>
      </c>
      <c r="P20" s="148" t="s">
        <v>263</v>
      </c>
      <c r="S20" s="199" t="s">
        <v>431</v>
      </c>
      <c r="T20" s="198">
        <f t="shared" ref="T20:Y20" si="4">VLOOKUP($D$11,$S$13:$Y$19,T10)</f>
        <v>56</v>
      </c>
      <c r="U20" s="198">
        <f t="shared" si="4"/>
        <v>112</v>
      </c>
      <c r="V20" s="198">
        <f t="shared" si="4"/>
        <v>224</v>
      </c>
      <c r="W20" s="198">
        <f t="shared" si="4"/>
        <v>395</v>
      </c>
      <c r="X20" s="198">
        <f t="shared" si="4"/>
        <v>678</v>
      </c>
      <c r="Y20" s="198">
        <f t="shared" si="4"/>
        <v>1017</v>
      </c>
      <c r="AB20" s="7" t="str">
        <f>VLOOKUP($D$11,$AA$13:$AG$19,AB10)</f>
        <v>NRF 8405967</v>
      </c>
      <c r="AC20" s="7" t="str">
        <f t="shared" ref="AC20:AG20" si="5">VLOOKUP($D$11,$AA$13:$AG$19,AC10)</f>
        <v>NRF 8405974</v>
      </c>
      <c r="AD20" s="7" t="str">
        <f t="shared" si="5"/>
        <v>NRF 8405996</v>
      </c>
      <c r="AE20" s="7" t="str">
        <f t="shared" si="5"/>
        <v>NRF 8405999</v>
      </c>
      <c r="AF20" s="7" t="str">
        <f t="shared" si="5"/>
        <v>NRF 8046002</v>
      </c>
      <c r="AG20" s="7" t="str">
        <f t="shared" si="5"/>
        <v>NRF 8406004</v>
      </c>
    </row>
    <row r="21" spans="1:35" ht="12" customHeight="1">
      <c r="A21" s="4" t="s">
        <v>76</v>
      </c>
      <c r="B21" s="45"/>
      <c r="D21" t="str">
        <f>IF(D10&gt;50,"Anbefaler bruk av pumpestyrt kar",'Kompressor-kar'!B12)</f>
        <v>Reflexomat 200</v>
      </c>
      <c r="F21" t="str">
        <f>VLOOKUP(D21,N50:O62,2)</f>
        <v>REFLEXOMAT ekspansjonskar, type RG  200, komplett for vertikal montasje og med utskiftbar membran.
NRF nr. 840 05 51
Dimensjoner:
volum         200 liter
diameter     634 mm
høyde        1480 mm
vekt             58 kg
driftstemp.  110oC
anslutning    R1”</v>
      </c>
      <c r="K21">
        <v>200</v>
      </c>
      <c r="L21" t="str">
        <f t="shared" si="1"/>
        <v>N 250</v>
      </c>
      <c r="N21" t="s">
        <v>262</v>
      </c>
      <c r="O21" t="str">
        <f t="shared" si="0"/>
        <v>Reflex Refix DE 60 liter. 10 bar</v>
      </c>
      <c r="P21" s="48">
        <v>1</v>
      </c>
      <c r="S21" t="s">
        <v>156</v>
      </c>
      <c r="T21" s="7">
        <f t="shared" ref="T21:Y24" si="6">IF($D28&lt;=99.91,T$20,T$20*2)</f>
        <v>112</v>
      </c>
      <c r="U21" s="7">
        <f t="shared" si="6"/>
        <v>224</v>
      </c>
      <c r="V21" s="7">
        <f t="shared" si="6"/>
        <v>448</v>
      </c>
      <c r="W21" s="7">
        <f t="shared" si="6"/>
        <v>790</v>
      </c>
      <c r="X21" s="7">
        <f t="shared" si="6"/>
        <v>1356</v>
      </c>
      <c r="Y21" s="7">
        <f t="shared" si="6"/>
        <v>2034</v>
      </c>
      <c r="Z21" t="str">
        <f>IF($D28&gt;Y21,"Benytt flere 2'' ventiler",IFERROR(HLOOKUP(D28,T21:$Y$26,AA21),$S$26))</f>
        <v>1 1/2''</v>
      </c>
      <c r="AA21">
        <v>6</v>
      </c>
      <c r="AB21">
        <f>D28</f>
        <v>1100</v>
      </c>
    </row>
    <row r="22" spans="1:35" ht="12" customHeight="1">
      <c r="D22" t="str">
        <f>'Kompressor-kar'!B14</f>
        <v>Kompressor RS90</v>
      </c>
      <c r="F22" t="str">
        <f>VLOOKUP(D22,N64:O68,2)</f>
        <v>RS 90/1 styreenhet med en kompressor påmontert på tank. 
* sikkerhetsventil 3/8'' - 6.0 bar for luftsiden
* hydraulisk/elektronisk vektcelle for vanninnhold.
* styreenheten leveres med potensialfrie kontakter for overføring av felles feilsignal for ''lavt'' og  ''høyt'' vann-nivå i tank samt ''kompressorfeil'', videre med konstant digital visning av systemtrykk i bar og vannivå i %
Uttak for eventuell senere tilkobling av automatisk vannpåfylling</v>
      </c>
      <c r="K22">
        <v>250</v>
      </c>
      <c r="L22" t="str">
        <f t="shared" si="1"/>
        <v>N 300</v>
      </c>
      <c r="N22" t="s">
        <v>198</v>
      </c>
      <c r="O22" t="str">
        <f t="shared" si="0"/>
        <v>Reflex Refix DE 600 liter. 10 bar</v>
      </c>
      <c r="P22" s="149" t="s">
        <v>264</v>
      </c>
      <c r="S22" t="s">
        <v>157</v>
      </c>
      <c r="T22" s="7">
        <f t="shared" si="6"/>
        <v>56</v>
      </c>
      <c r="U22" s="7">
        <f t="shared" si="6"/>
        <v>112</v>
      </c>
      <c r="V22" s="7">
        <f t="shared" si="6"/>
        <v>224</v>
      </c>
      <c r="W22" s="7">
        <f t="shared" si="6"/>
        <v>395</v>
      </c>
      <c r="X22" s="7">
        <f t="shared" si="6"/>
        <v>678</v>
      </c>
      <c r="Y22" s="7">
        <f t="shared" si="6"/>
        <v>1017</v>
      </c>
      <c r="Z22" t="str">
        <f>IF($D29&gt;Y22,"Benytt flere 2'' ventiler",IFERROR(HLOOKUP(D29,T22:$Y$26,AA22),$S$26))</f>
        <v>1 / 2”</v>
      </c>
      <c r="AA22">
        <v>5</v>
      </c>
      <c r="AB22">
        <f>D29</f>
        <v>0</v>
      </c>
    </row>
    <row r="23" spans="1:35" ht="12" customHeight="1">
      <c r="K23">
        <v>300</v>
      </c>
      <c r="L23" t="str">
        <f t="shared" si="1"/>
        <v>N 400</v>
      </c>
      <c r="N23" t="s">
        <v>203</v>
      </c>
      <c r="O23" t="str">
        <f t="shared" si="0"/>
        <v>Reflex Refix DE 8 liter. 10 bar</v>
      </c>
      <c r="P23" s="48" t="s">
        <v>128</v>
      </c>
      <c r="S23" t="s">
        <v>158</v>
      </c>
      <c r="T23" s="7">
        <f t="shared" si="6"/>
        <v>56</v>
      </c>
      <c r="U23" s="7">
        <f t="shared" si="6"/>
        <v>112</v>
      </c>
      <c r="V23" s="7">
        <f t="shared" si="6"/>
        <v>224</v>
      </c>
      <c r="W23" s="7">
        <f t="shared" si="6"/>
        <v>395</v>
      </c>
      <c r="X23" s="7">
        <f t="shared" si="6"/>
        <v>678</v>
      </c>
      <c r="Y23" s="7">
        <f t="shared" si="6"/>
        <v>1017</v>
      </c>
      <c r="Z23" t="str">
        <f>IF($D30&gt;Y23,"Benytt flere 2'' ventiler",IFERROR(HLOOKUP(D30,T23:$Y$26,AA23),$S$26))</f>
        <v>1 / 2”</v>
      </c>
      <c r="AA23">
        <v>4</v>
      </c>
      <c r="AB23">
        <f>D30</f>
        <v>0</v>
      </c>
      <c r="AC23" s="44"/>
      <c r="AD23" s="44"/>
      <c r="AE23" s="44"/>
      <c r="AF23" s="44"/>
    </row>
    <row r="24" spans="1:35" ht="12" customHeight="1">
      <c r="A24" s="26" t="s">
        <v>304</v>
      </c>
      <c r="B24" s="41"/>
      <c r="D24" t="str">
        <f>Variomat</f>
        <v>Variomat 200</v>
      </c>
      <c r="F24" t="str">
        <f>VLOOKUP(D24,R50:S61,2)</f>
        <v>Variomat ekspansjonskar, type VG  200, komplett for vertikal montasje og med utskiftbar membran.
Dimensjoner:
volum         200 liter
diameter     634 mm
høyde        1060 mm
vekt             41,4 kg
anslutning    G1''</v>
      </c>
      <c r="K24">
        <v>400</v>
      </c>
      <c r="L24" t="str">
        <f t="shared" si="1"/>
        <v>N 500</v>
      </c>
      <c r="N24" t="s">
        <v>201</v>
      </c>
      <c r="O24" t="str">
        <f t="shared" si="0"/>
        <v>Reflex Refix DE 80 liter. 10 bar</v>
      </c>
      <c r="P24" s="48">
        <v>1</v>
      </c>
      <c r="S24" t="s">
        <v>159</v>
      </c>
      <c r="T24" s="7">
        <f t="shared" si="6"/>
        <v>56</v>
      </c>
      <c r="U24" s="7">
        <f t="shared" si="6"/>
        <v>112</v>
      </c>
      <c r="V24" s="7">
        <f t="shared" si="6"/>
        <v>224</v>
      </c>
      <c r="W24" s="7">
        <f t="shared" si="6"/>
        <v>395</v>
      </c>
      <c r="X24" s="7">
        <f t="shared" si="6"/>
        <v>678</v>
      </c>
      <c r="Y24" s="7">
        <f t="shared" si="6"/>
        <v>1017</v>
      </c>
      <c r="Z24" t="str">
        <f>IF($D31&gt;Y24,"Benytt flere 2'' ventiler",IFERROR(HLOOKUP(D31,T24:$Y$26,AA24),$S$26))</f>
        <v>1 / 2”</v>
      </c>
      <c r="AA24">
        <v>3</v>
      </c>
      <c r="AB24">
        <f>D31</f>
        <v>0</v>
      </c>
    </row>
    <row r="25" spans="1:35" ht="12" customHeight="1">
      <c r="D25" t="str">
        <f>Pumpeenhet</f>
        <v>VS1</v>
      </c>
      <c r="F25" t="str">
        <f>VLOOKUP(D25,R64:S75,2)</f>
        <v>Styreautomatikk med en pumpe for plassering ved siden av tank, med potensialfrie kontakter for overføring  av felles feilsignal for "lavt" og "høyt" vannivå i tank samt "pumpefeill", videre med konstant digital visning av systemtrykk i bar og vannivå i %
·hydraulisk/elektronisk vektcelle for vanninnhold.
·uttak for eventuell senere tilkobling av automatisk vannpåfylling.
Maks. 10 bar arbeidstrykk.</v>
      </c>
      <c r="K25">
        <v>500</v>
      </c>
      <c r="L25" t="str">
        <f t="shared" si="1"/>
        <v>N 600</v>
      </c>
      <c r="N25" t="s">
        <v>199</v>
      </c>
      <c r="O25" t="str">
        <f t="shared" si="0"/>
        <v>Reflex Refix DE 800 liter. 10 bar</v>
      </c>
      <c r="P25" s="149" t="s">
        <v>264</v>
      </c>
      <c r="T25" s="7"/>
      <c r="U25" s="7"/>
      <c r="V25" s="7"/>
      <c r="W25" s="7"/>
      <c r="X25" s="7"/>
      <c r="Y25" s="7"/>
      <c r="AA25">
        <v>2</v>
      </c>
    </row>
    <row r="26" spans="1:35" ht="12" customHeight="1">
      <c r="K26">
        <v>600</v>
      </c>
      <c r="L26" t="str">
        <f t="shared" si="1"/>
        <v>N 800</v>
      </c>
      <c r="N26" t="s">
        <v>126</v>
      </c>
      <c r="O26" s="172" t="s">
        <v>345</v>
      </c>
      <c r="P26" s="48" t="s">
        <v>127</v>
      </c>
      <c r="S26" t="str">
        <f>T11</f>
        <v>1 / 2”</v>
      </c>
      <c r="T26" t="str">
        <f>U11</f>
        <v>3 / 4''</v>
      </c>
      <c r="U26" t="str">
        <f>V11</f>
        <v>1”</v>
      </c>
      <c r="V26" t="str">
        <f>W11</f>
        <v>1 ¼”</v>
      </c>
      <c r="W26" t="str">
        <f t="shared" ref="W26:X26" si="7">X11</f>
        <v>1 1/2''</v>
      </c>
      <c r="X26" t="str">
        <f t="shared" si="7"/>
        <v>2''</v>
      </c>
    </row>
    <row r="27" spans="1:35" ht="12" customHeight="1">
      <c r="A27" s="4" t="s">
        <v>93</v>
      </c>
      <c r="D27" t="s">
        <v>33</v>
      </c>
      <c r="E27" t="s">
        <v>161</v>
      </c>
      <c r="F27" t="s">
        <v>160</v>
      </c>
      <c r="G27" t="s">
        <v>164</v>
      </c>
      <c r="K27">
        <v>800</v>
      </c>
      <c r="L27" t="str">
        <f t="shared" si="1"/>
        <v>N 1000</v>
      </c>
      <c r="N27" t="s">
        <v>112</v>
      </c>
      <c r="O27" s="172" t="s">
        <v>346</v>
      </c>
      <c r="P27" s="48" t="s">
        <v>128</v>
      </c>
    </row>
    <row r="28" spans="1:35" ht="12" customHeight="1">
      <c r="A28" s="46" t="s">
        <v>89</v>
      </c>
      <c r="D28" s="83">
        <f>Varme!E38</f>
        <v>1100</v>
      </c>
      <c r="E28">
        <f>IF(D28&gt;99.9,2,1)</f>
        <v>2</v>
      </c>
      <c r="F28" t="str">
        <f>IF(D28&gt;0,Z21,"")</f>
        <v>1 1/2''</v>
      </c>
      <c r="G28" s="7">
        <f>HLOOKUP(I28,$T$12:$Y$20,9)</f>
        <v>678</v>
      </c>
      <c r="H28" s="44" t="str">
        <f>IFERROR(IF(HLOOKUP(I28,$AB$12:$AG$20,9)=0,"",HLOOKUP(I28,$AB$12:$AG$20,9)),0)</f>
        <v>NRF 8046002</v>
      </c>
      <c r="I28">
        <f>VLOOKUP(F28,$AH$12:$AI$17,2)</f>
        <v>1.5</v>
      </c>
      <c r="J28" s="58" t="str">
        <f>IFERROR(IF(F28="Benytt flere 2'' ventiler","Benytt flere enn 2 x 2'' ventiler",CONCATENATE(E28," stk.",F28," sikkerhetsventil med kapasitet ",ROUND(G28,0)," kW per ventil og ",$D$11/10," bar blåsetrykk ",H28)),0)</f>
        <v>2 stk.1 1/2'' sikkerhetsventil med kapasitet 678 kW per ventil og 3 bar blåsetrykk NRF 8046002</v>
      </c>
      <c r="K28">
        <v>1000</v>
      </c>
      <c r="L28" t="s">
        <v>177</v>
      </c>
      <c r="N28" t="s">
        <v>113</v>
      </c>
      <c r="O28" s="172" t="s">
        <v>347</v>
      </c>
      <c r="P28" s="48" t="s">
        <v>128</v>
      </c>
    </row>
    <row r="29" spans="1:35" ht="12" customHeight="1">
      <c r="A29" s="46" t="s">
        <v>90</v>
      </c>
      <c r="D29" s="83">
        <f>Varme!E39</f>
        <v>0</v>
      </c>
      <c r="E29">
        <f>IF(D29&gt;99.9,2,1)</f>
        <v>1</v>
      </c>
      <c r="F29" t="str">
        <f>IF(D29&gt;0,Z22,"")</f>
        <v/>
      </c>
      <c r="G29" s="7" t="e">
        <f>HLOOKUP(I29,$T$12:$Y$20,9)</f>
        <v>#N/A</v>
      </c>
      <c r="H29" s="44">
        <f>IFERROR(IF(HLOOKUP(I29,$AB$12:$AG$20,9)=0,"",HLOOKUP(I29,$AB$12:$AG$20,9)),0)</f>
        <v>0</v>
      </c>
      <c r="I29" t="e">
        <f t="shared" ref="I29:I31" si="8">VLOOKUP(F29,$AH$12:$AI$17,2)</f>
        <v>#N/A</v>
      </c>
      <c r="J29" s="58">
        <f>IFERROR(IF(F29="Benytt flere 2'' ventiler","Benytt flere enn 2 x 2'' ventiler",CONCATENATE(E29," stk.",F29," sikkerhetsventil med kapasitet ",ROUND(G29,0)," kW per ventil og ",$D$11/10," bar blåsetrykk ",H29)),0)</f>
        <v>0</v>
      </c>
      <c r="N29" t="s">
        <v>119</v>
      </c>
      <c r="O29" s="172" t="s">
        <v>348</v>
      </c>
      <c r="P29" s="48" t="s">
        <v>127</v>
      </c>
    </row>
    <row r="30" spans="1:35" ht="12" customHeight="1">
      <c r="A30" s="46" t="s">
        <v>91</v>
      </c>
      <c r="D30" s="83">
        <f>Varme!E40</f>
        <v>0</v>
      </c>
      <c r="E30">
        <f>IF(D30&gt;99.9,2,1)</f>
        <v>1</v>
      </c>
      <c r="F30" t="str">
        <f>IF(D30&gt;0,Z23,"")</f>
        <v/>
      </c>
      <c r="G30" s="7" t="e">
        <f>HLOOKUP(I30,$T$12:$Y$20,9)</f>
        <v>#N/A</v>
      </c>
      <c r="H30" s="44">
        <f>IFERROR(IF(HLOOKUP(I30,$AB$12:$AG$20,9)=0,"",HLOOKUP(I30,$AB$12:$AG$20,9)),0)</f>
        <v>0</v>
      </c>
      <c r="I30" t="e">
        <f>VLOOKUP(F30,$AH$12:$AI$18,2)</f>
        <v>#N/A</v>
      </c>
      <c r="J30" s="58">
        <f>IFERROR(IF(F30="Benytt flere 2'' ventiler","Benytt flere enn 2 x 2'' ventiler",CONCATENATE(E30," stk.",F30," sikkerhetsventil med kapasitet ",ROUND(G30,0)," kW per ventil og ",$D$11/10," bar blåsetrykk ",H30)),0)</f>
        <v>0</v>
      </c>
      <c r="K30">
        <v>0</v>
      </c>
      <c r="L30" t="str">
        <f>CONCATENATE("DE ",K31)</f>
        <v>DE 8</v>
      </c>
      <c r="N30" t="s">
        <v>114</v>
      </c>
      <c r="O30" s="172" t="s">
        <v>349</v>
      </c>
      <c r="P30" s="48" t="s">
        <v>128</v>
      </c>
    </row>
    <row r="31" spans="1:35" ht="12" customHeight="1">
      <c r="A31" s="46" t="s">
        <v>92</v>
      </c>
      <c r="D31" s="83">
        <f>Varme!E41</f>
        <v>0</v>
      </c>
      <c r="E31">
        <f>IF(D31&gt;99.9,2,1)</f>
        <v>1</v>
      </c>
      <c r="F31" t="str">
        <f>IF(D31&gt;0,Z24,"")</f>
        <v/>
      </c>
      <c r="G31" s="7" t="e">
        <f>HLOOKUP(I31,$T$12:$Y$20,9)</f>
        <v>#N/A</v>
      </c>
      <c r="H31" s="44">
        <f>IFERROR(IF(HLOOKUP(I31,$AB$12:$AG$20,9)=0,"",HLOOKUP(I31,$AB$12:$AG$20,9)),0)</f>
        <v>0</v>
      </c>
      <c r="I31" t="e">
        <f t="shared" si="8"/>
        <v>#N/A</v>
      </c>
      <c r="J31" s="58">
        <f>IFERROR(IF(F31="Benytt flere 2'' ventiler","Benytt flere enn 2 x 2'' ventiler",CONCATENATE(E31," stk.",F31," sikkerhetsventil med kapasitet ",ROUND(G31,0)," kW per ventil og ",$D$11/10," bar blåsetrykk ",H31)),0)</f>
        <v>0</v>
      </c>
      <c r="K31">
        <v>8</v>
      </c>
      <c r="L31" t="str">
        <f t="shared" ref="L31:L44" si="9">CONCATENATE("DE ",K32)</f>
        <v>DE 12</v>
      </c>
      <c r="N31" t="s">
        <v>120</v>
      </c>
      <c r="O31" s="172" t="s">
        <v>350</v>
      </c>
      <c r="P31" s="48" t="s">
        <v>127</v>
      </c>
    </row>
    <row r="32" spans="1:35" ht="12" customHeight="1">
      <c r="A32" s="46"/>
      <c r="D32">
        <f>SUM(D28:D31)</f>
        <v>1100</v>
      </c>
      <c r="G32" s="7"/>
      <c r="H32" s="44"/>
      <c r="J32" s="58"/>
      <c r="K32">
        <v>12</v>
      </c>
      <c r="L32" t="str">
        <f t="shared" si="9"/>
        <v>DE 18</v>
      </c>
      <c r="N32" t="s">
        <v>121</v>
      </c>
      <c r="O32" s="172" t="s">
        <v>351</v>
      </c>
      <c r="P32" s="48" t="s">
        <v>127</v>
      </c>
    </row>
    <row r="33" spans="1:16" ht="12" customHeight="1">
      <c r="K33">
        <v>18</v>
      </c>
      <c r="L33" t="str">
        <f t="shared" si="9"/>
        <v>DE 25</v>
      </c>
      <c r="N33" t="s">
        <v>139</v>
      </c>
      <c r="O33" s="172" t="s">
        <v>352</v>
      </c>
      <c r="P33" s="48" t="s">
        <v>128</v>
      </c>
    </row>
    <row r="34" spans="1:16" ht="12" customHeight="1">
      <c r="K34">
        <v>25</v>
      </c>
      <c r="L34" t="str">
        <f t="shared" si="9"/>
        <v>DE 33</v>
      </c>
      <c r="N34" t="s">
        <v>122</v>
      </c>
      <c r="O34" s="172" t="s">
        <v>353</v>
      </c>
      <c r="P34" s="48" t="s">
        <v>127</v>
      </c>
    </row>
    <row r="35" spans="1:16" ht="12" customHeight="1">
      <c r="K35">
        <v>33</v>
      </c>
      <c r="L35" t="str">
        <f t="shared" si="9"/>
        <v>DE 60</v>
      </c>
      <c r="N35" t="s">
        <v>123</v>
      </c>
      <c r="O35" s="172" t="s">
        <v>354</v>
      </c>
      <c r="P35" s="48" t="s">
        <v>127</v>
      </c>
    </row>
    <row r="36" spans="1:16" ht="12" customHeight="1">
      <c r="K36">
        <v>60</v>
      </c>
      <c r="L36" t="str">
        <f t="shared" si="9"/>
        <v>DE 80</v>
      </c>
      <c r="N36" t="s">
        <v>124</v>
      </c>
      <c r="O36" s="172" t="s">
        <v>355</v>
      </c>
      <c r="P36" s="48" t="s">
        <v>127</v>
      </c>
    </row>
    <row r="37" spans="1:16" ht="39.6">
      <c r="A37" t="s">
        <v>398</v>
      </c>
      <c r="B37">
        <f>((P0+1.7)/0.4)*4.5</f>
        <v>72.337499999999991</v>
      </c>
      <c r="D37" t="str">
        <f>LOOKUP(Ekspansjon!B37,Ekspansjon!K30:L45)</f>
        <v>DE 80</v>
      </c>
      <c r="F37" t="str">
        <f>IF(D37=N10,"",VLOOKUP(D37,N11:O42,2))</f>
        <v>Reflex Refix DE 80 liter. 10 bar</v>
      </c>
      <c r="K37">
        <v>80</v>
      </c>
      <c r="L37" t="str">
        <f t="shared" si="9"/>
        <v>DE 100</v>
      </c>
      <c r="N37" t="s">
        <v>111</v>
      </c>
      <c r="O37" s="172" t="s">
        <v>356</v>
      </c>
      <c r="P37" s="48" t="s">
        <v>128</v>
      </c>
    </row>
    <row r="38" spans="1:16" ht="39.6">
      <c r="K38">
        <v>100</v>
      </c>
      <c r="L38" t="str">
        <f t="shared" si="9"/>
        <v>DE 200</v>
      </c>
      <c r="N38" t="s">
        <v>125</v>
      </c>
      <c r="O38" s="172" t="s">
        <v>357</v>
      </c>
      <c r="P38" s="48" t="s">
        <v>127</v>
      </c>
    </row>
    <row r="39" spans="1:16" ht="39.6">
      <c r="K39">
        <v>200</v>
      </c>
      <c r="L39" t="str">
        <f t="shared" si="9"/>
        <v>DE 300</v>
      </c>
      <c r="N39" t="s">
        <v>117</v>
      </c>
      <c r="O39" s="172" t="s">
        <v>358</v>
      </c>
      <c r="P39" s="48" t="s">
        <v>127</v>
      </c>
    </row>
    <row r="40" spans="1:16" ht="39.6">
      <c r="K40">
        <v>300</v>
      </c>
      <c r="L40" t="str">
        <f t="shared" si="9"/>
        <v>DE 400</v>
      </c>
      <c r="N40" t="s">
        <v>118</v>
      </c>
      <c r="O40" s="172" t="s">
        <v>359</v>
      </c>
      <c r="P40" s="48" t="s">
        <v>127</v>
      </c>
    </row>
    <row r="41" spans="1:16" ht="39.6">
      <c r="K41">
        <v>400</v>
      </c>
      <c r="L41" t="str">
        <f t="shared" si="9"/>
        <v>DE 500</v>
      </c>
      <c r="N41" t="s">
        <v>115</v>
      </c>
      <c r="O41" s="172" t="s">
        <v>360</v>
      </c>
      <c r="P41" s="48" t="s">
        <v>128</v>
      </c>
    </row>
    <row r="42" spans="1:16" ht="39.6">
      <c r="K42">
        <v>500</v>
      </c>
      <c r="L42" t="str">
        <f t="shared" si="9"/>
        <v>DE 600</v>
      </c>
      <c r="N42" t="s">
        <v>116</v>
      </c>
      <c r="O42" s="172" t="s">
        <v>361</v>
      </c>
      <c r="P42" s="48" t="s">
        <v>127</v>
      </c>
    </row>
    <row r="43" spans="1:16">
      <c r="K43">
        <v>600</v>
      </c>
      <c r="L43" t="str">
        <f t="shared" si="9"/>
        <v>DE 800</v>
      </c>
      <c r="P43" s="48"/>
    </row>
    <row r="44" spans="1:16">
      <c r="K44">
        <v>800</v>
      </c>
      <c r="L44" t="str">
        <f t="shared" si="9"/>
        <v>DE 1000</v>
      </c>
    </row>
    <row r="45" spans="1:16">
      <c r="K45">
        <v>1000</v>
      </c>
      <c r="L45" t="s">
        <v>177</v>
      </c>
    </row>
    <row r="50" spans="14:19" ht="158.4">
      <c r="N50" t="s">
        <v>102</v>
      </c>
      <c r="O50" s="172" t="s">
        <v>336</v>
      </c>
      <c r="R50" t="s">
        <v>317</v>
      </c>
      <c r="S50" s="172" t="s">
        <v>324</v>
      </c>
    </row>
    <row r="51" spans="14:19" ht="158.4">
      <c r="N51" t="s">
        <v>103</v>
      </c>
      <c r="O51" s="50" t="s">
        <v>146</v>
      </c>
      <c r="R51" t="s">
        <v>318</v>
      </c>
      <c r="S51" s="172" t="s">
        <v>325</v>
      </c>
    </row>
    <row r="52" spans="14:19" ht="145.19999999999999">
      <c r="N52" t="s">
        <v>96</v>
      </c>
      <c r="O52" s="50" t="s">
        <v>140</v>
      </c>
      <c r="R52" t="s">
        <v>311</v>
      </c>
      <c r="S52" s="172" t="s">
        <v>326</v>
      </c>
    </row>
    <row r="53" spans="14:19" ht="145.19999999999999">
      <c r="N53" t="s">
        <v>104</v>
      </c>
      <c r="O53" s="50" t="s">
        <v>147</v>
      </c>
      <c r="R53" t="s">
        <v>319</v>
      </c>
      <c r="S53" s="172" t="s">
        <v>327</v>
      </c>
    </row>
    <row r="54" spans="14:19" ht="145.19999999999999">
      <c r="N54" t="s">
        <v>97</v>
      </c>
      <c r="O54" s="50" t="s">
        <v>141</v>
      </c>
      <c r="R54" t="s">
        <v>312</v>
      </c>
      <c r="S54" s="172" t="s">
        <v>328</v>
      </c>
    </row>
    <row r="55" spans="14:19" ht="158.4">
      <c r="N55" t="s">
        <v>105</v>
      </c>
      <c r="O55" s="50" t="s">
        <v>148</v>
      </c>
      <c r="R55" t="s">
        <v>320</v>
      </c>
      <c r="S55" s="172" t="s">
        <v>329</v>
      </c>
    </row>
    <row r="56" spans="14:19" ht="145.19999999999999">
      <c r="N56" t="s">
        <v>98</v>
      </c>
      <c r="O56" s="50" t="s">
        <v>142</v>
      </c>
      <c r="R56" t="s">
        <v>313</v>
      </c>
      <c r="S56" s="172" t="s">
        <v>330</v>
      </c>
    </row>
    <row r="57" spans="14:19" ht="158.4">
      <c r="N57" t="s">
        <v>106</v>
      </c>
      <c r="O57" s="50" t="s">
        <v>149</v>
      </c>
      <c r="R57" t="s">
        <v>321</v>
      </c>
      <c r="S57" s="172" t="s">
        <v>331</v>
      </c>
    </row>
    <row r="58" spans="14:19" ht="145.19999999999999">
      <c r="N58" t="s">
        <v>99</v>
      </c>
      <c r="O58" s="50" t="s">
        <v>143</v>
      </c>
      <c r="R58" t="s">
        <v>314</v>
      </c>
      <c r="S58" s="172" t="s">
        <v>332</v>
      </c>
    </row>
    <row r="59" spans="14:19" ht="158.4">
      <c r="N59" t="s">
        <v>107</v>
      </c>
      <c r="O59" s="50" t="s">
        <v>150</v>
      </c>
      <c r="R59" t="s">
        <v>322</v>
      </c>
      <c r="S59" s="172" t="s">
        <v>333</v>
      </c>
    </row>
    <row r="60" spans="14:19" ht="145.19999999999999">
      <c r="N60" t="s">
        <v>100</v>
      </c>
      <c r="O60" s="50" t="s">
        <v>144</v>
      </c>
      <c r="R60" t="s">
        <v>315</v>
      </c>
      <c r="S60" s="172" t="s">
        <v>334</v>
      </c>
    </row>
    <row r="61" spans="14:19" ht="145.19999999999999">
      <c r="N61" t="s">
        <v>101</v>
      </c>
      <c r="O61" s="50" t="s">
        <v>145</v>
      </c>
      <c r="R61" t="s">
        <v>316</v>
      </c>
      <c r="S61" s="172" t="s">
        <v>335</v>
      </c>
    </row>
    <row r="62" spans="14:19">
      <c r="N62" t="s">
        <v>108</v>
      </c>
    </row>
    <row r="64" spans="14:19" ht="77.25" customHeight="1">
      <c r="N64" t="s">
        <v>294</v>
      </c>
      <c r="O64" s="172" t="s">
        <v>299</v>
      </c>
      <c r="R64" s="14" t="s">
        <v>276</v>
      </c>
      <c r="S64" s="172" t="s">
        <v>337</v>
      </c>
    </row>
    <row r="65" spans="14:19" ht="77.25" customHeight="1">
      <c r="N65" t="s">
        <v>295</v>
      </c>
      <c r="O65" s="172" t="s">
        <v>300</v>
      </c>
      <c r="R65" s="14" t="s">
        <v>280</v>
      </c>
      <c r="S65" s="172" t="s">
        <v>344</v>
      </c>
    </row>
    <row r="66" spans="14:19" ht="129" customHeight="1">
      <c r="N66" t="s">
        <v>296</v>
      </c>
      <c r="O66" s="172" t="s">
        <v>301</v>
      </c>
      <c r="R66" s="14" t="s">
        <v>287</v>
      </c>
      <c r="S66" s="172" t="s">
        <v>344</v>
      </c>
    </row>
    <row r="67" spans="14:19" ht="120.75" customHeight="1">
      <c r="N67" t="s">
        <v>297</v>
      </c>
      <c r="O67" s="172" t="s">
        <v>302</v>
      </c>
      <c r="R67" s="14" t="s">
        <v>277</v>
      </c>
      <c r="S67" s="172" t="s">
        <v>338</v>
      </c>
    </row>
    <row r="68" spans="14:19" ht="120.75" customHeight="1">
      <c r="N68" t="s">
        <v>293</v>
      </c>
      <c r="O68" s="172" t="s">
        <v>303</v>
      </c>
      <c r="R68" s="14" t="s">
        <v>278</v>
      </c>
      <c r="S68" s="172" t="s">
        <v>339</v>
      </c>
    </row>
    <row r="69" spans="14:19" ht="211.2">
      <c r="R69" s="14" t="s">
        <v>279</v>
      </c>
      <c r="S69" s="172" t="s">
        <v>340</v>
      </c>
    </row>
    <row r="70" spans="14:19" ht="237.6">
      <c r="R70" s="14" t="s">
        <v>281</v>
      </c>
      <c r="S70" s="172" t="s">
        <v>341</v>
      </c>
    </row>
    <row r="71" spans="14:19" ht="237.6">
      <c r="N71" s="48" t="s">
        <v>127</v>
      </c>
      <c r="O71" t="s">
        <v>166</v>
      </c>
      <c r="R71" s="14" t="s">
        <v>282</v>
      </c>
      <c r="S71" s="172" t="s">
        <v>341</v>
      </c>
    </row>
    <row r="72" spans="14:19" ht="224.4">
      <c r="N72" s="62" t="s">
        <v>128</v>
      </c>
      <c r="O72" t="s">
        <v>167</v>
      </c>
      <c r="R72" s="14" t="s">
        <v>283</v>
      </c>
      <c r="S72" s="172" t="s">
        <v>342</v>
      </c>
    </row>
    <row r="73" spans="14:19" ht="211.2">
      <c r="R73" s="14" t="s">
        <v>285</v>
      </c>
      <c r="S73" s="172" t="s">
        <v>340</v>
      </c>
    </row>
    <row r="74" spans="14:19" ht="290.39999999999998">
      <c r="R74" s="14" t="s">
        <v>284</v>
      </c>
      <c r="S74" s="172" t="s">
        <v>343</v>
      </c>
    </row>
    <row r="75" spans="14:19" ht="211.2">
      <c r="R75" s="14" t="s">
        <v>286</v>
      </c>
      <c r="S75" s="172" t="s">
        <v>340</v>
      </c>
    </row>
  </sheetData>
  <sortState xmlns:xlrd2="http://schemas.microsoft.com/office/spreadsheetml/2017/richdata2" ref="N64:O68">
    <sortCondition ref="N64:N68"/>
  </sortState>
  <phoneticPr fontId="0" type="noConversion"/>
  <pageMargins left="0.78740157499999996" right="0.78740157499999996" top="0.984251969" bottom="0.984251969"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6"/>
  <dimension ref="A2:I40"/>
  <sheetViews>
    <sheetView workbookViewId="0">
      <selection activeCell="B8" sqref="B8"/>
    </sheetView>
  </sheetViews>
  <sheetFormatPr baseColWidth="10" defaultRowHeight="13.2"/>
  <cols>
    <col min="1" max="1" width="18.33203125" bestFit="1" customWidth="1"/>
    <col min="2" max="2" width="16.6640625" customWidth="1"/>
  </cols>
  <sheetData>
    <row r="2" spans="1:8" ht="15.6">
      <c r="A2" s="11" t="s">
        <v>80</v>
      </c>
    </row>
    <row r="4" spans="1:8">
      <c r="G4" s="26" t="s">
        <v>50</v>
      </c>
    </row>
    <row r="5" spans="1:8">
      <c r="A5" t="s">
        <v>51</v>
      </c>
      <c r="B5" s="83">
        <f>Ekspansjon!D4</f>
        <v>70</v>
      </c>
      <c r="C5" t="s">
        <v>52</v>
      </c>
      <c r="G5" t="s">
        <v>53</v>
      </c>
      <c r="H5" s="28">
        <v>0.3</v>
      </c>
    </row>
    <row r="6" spans="1:8">
      <c r="A6" t="s">
        <v>54</v>
      </c>
      <c r="B6" s="29">
        <f>(B5+10)/160</f>
        <v>0.5</v>
      </c>
      <c r="C6" t="s">
        <v>53</v>
      </c>
      <c r="G6" t="s">
        <v>55</v>
      </c>
      <c r="H6">
        <f>H5*160-10</f>
        <v>38</v>
      </c>
    </row>
    <row r="8" spans="1:8">
      <c r="A8" t="s">
        <v>56</v>
      </c>
      <c r="B8" s="83">
        <f>Ekspansjon!D10</f>
        <v>10</v>
      </c>
      <c r="C8" t="s">
        <v>57</v>
      </c>
    </row>
    <row r="9" spans="1:8">
      <c r="A9" t="s">
        <v>33</v>
      </c>
      <c r="B9" s="83">
        <f>Ekspansjon!D32</f>
        <v>1100</v>
      </c>
      <c r="C9" t="s">
        <v>33</v>
      </c>
    </row>
    <row r="10" spans="1:8">
      <c r="A10" t="s">
        <v>75</v>
      </c>
      <c r="B10" s="100">
        <f>vannmengde</f>
        <v>0</v>
      </c>
      <c r="C10" t="s">
        <v>3</v>
      </c>
    </row>
    <row r="11" spans="1:8">
      <c r="A11" t="s">
        <v>79</v>
      </c>
      <c r="B11" s="40">
        <f>ekspansjon</f>
        <v>3</v>
      </c>
    </row>
    <row r="12" spans="1:8">
      <c r="A12" t="s">
        <v>76</v>
      </c>
      <c r="B12" s="47" t="str">
        <f>VLOOKUP(B11,H28:I40,2)</f>
        <v>Reflexomat 200</v>
      </c>
    </row>
    <row r="13" spans="1:8">
      <c r="B13" s="32"/>
    </row>
    <row r="14" spans="1:8">
      <c r="A14" t="s">
        <v>58</v>
      </c>
      <c r="B14" s="26" t="str">
        <f>VLOOKUP(-B16,G20:H24,2)</f>
        <v>Kompressor RS90</v>
      </c>
    </row>
    <row r="15" spans="1:8">
      <c r="A15" t="s">
        <v>59</v>
      </c>
      <c r="B15" s="30">
        <f>VLOOKUP(B14,A19:B23,2,FALSE)</f>
        <v>82.825000000000003</v>
      </c>
      <c r="C15" t="s">
        <v>60</v>
      </c>
    </row>
    <row r="16" spans="1:8">
      <c r="A16" t="s">
        <v>61</v>
      </c>
      <c r="B16" s="31">
        <f>(B6*B9/60)*(B8/10+1.5)</f>
        <v>22.916666666666664</v>
      </c>
      <c r="C16" t="s">
        <v>60</v>
      </c>
    </row>
    <row r="18" spans="1:9">
      <c r="B18" s="32" t="s">
        <v>60</v>
      </c>
      <c r="C18" t="s">
        <v>62</v>
      </c>
    </row>
    <row r="19" spans="1:9">
      <c r="A19" s="14" t="s">
        <v>293</v>
      </c>
      <c r="B19" s="33">
        <f>100-12.5*H26+0.7*H26^2</f>
        <v>82.825000000000003</v>
      </c>
      <c r="G19" s="26" t="s">
        <v>50</v>
      </c>
    </row>
    <row r="20" spans="1:9">
      <c r="A20" t="s">
        <v>294</v>
      </c>
      <c r="B20" s="20">
        <f>131.15+komptrykk*Diagram!B13+komptrykk*Diagram!B14^2</f>
        <v>114.03326487027687</v>
      </c>
      <c r="C20">
        <f>-6.8*H26+120</f>
        <v>109.8</v>
      </c>
      <c r="G20" s="34">
        <f>-B23</f>
        <v>-455.65854574099939</v>
      </c>
      <c r="H20" t="str">
        <f>A23</f>
        <v>Kompressor RS580</v>
      </c>
    </row>
    <row r="21" spans="1:9">
      <c r="A21" t="s">
        <v>295</v>
      </c>
      <c r="B21" s="33">
        <f>Diagram!B22+Diagram!B23*komptrykk+komptrykk*Diagram!B24^2</f>
        <v>225.79253383106746</v>
      </c>
      <c r="C21">
        <f>-12*H26+235</f>
        <v>217</v>
      </c>
      <c r="G21" s="34">
        <f>-B22</f>
        <v>-298.63318816292144</v>
      </c>
      <c r="H21" t="str">
        <f>A22</f>
        <v>Kompressor RS400</v>
      </c>
    </row>
    <row r="22" spans="1:9">
      <c r="A22" t="s">
        <v>296</v>
      </c>
      <c r="B22" s="33">
        <f>Diagram!B32+Diagram!B33*komptrykk+komptrykk*Diagram!B34^2</f>
        <v>298.63318816292144</v>
      </c>
      <c r="C22">
        <f>-14.5*H26+310</f>
        <v>288.25</v>
      </c>
      <c r="G22" s="34">
        <f>-B21</f>
        <v>-225.79253383106746</v>
      </c>
      <c r="H22" t="str">
        <f>A21</f>
        <v>Kompressor RS300</v>
      </c>
    </row>
    <row r="23" spans="1:9">
      <c r="A23" t="s">
        <v>297</v>
      </c>
      <c r="B23" s="33">
        <f>Diagram!B42+Diagram!B43*komptrykk+komptrykk*Diagram!B44^2</f>
        <v>455.65854574099939</v>
      </c>
      <c r="C23">
        <f>-22*H26+480</f>
        <v>447</v>
      </c>
      <c r="G23" s="34">
        <f>-B20</f>
        <v>-114.03326487027687</v>
      </c>
      <c r="H23" t="str">
        <f>A20</f>
        <v>Kompressor RS150</v>
      </c>
    </row>
    <row r="24" spans="1:9">
      <c r="G24" s="34">
        <f>-B19</f>
        <v>-82.825000000000003</v>
      </c>
      <c r="H24" t="str">
        <f>A19</f>
        <v>Kompressor RS90</v>
      </c>
    </row>
    <row r="26" spans="1:9">
      <c r="G26" t="s">
        <v>63</v>
      </c>
      <c r="H26" s="20">
        <f>B8/10+0.5</f>
        <v>1.5</v>
      </c>
      <c r="I26" t="s">
        <v>64</v>
      </c>
    </row>
    <row r="28" spans="1:9">
      <c r="H28">
        <v>0</v>
      </c>
      <c r="I28" t="s">
        <v>96</v>
      </c>
    </row>
    <row r="29" spans="1:9">
      <c r="H29">
        <v>160</v>
      </c>
      <c r="I29" t="s">
        <v>97</v>
      </c>
    </row>
    <row r="30" spans="1:9">
      <c r="H30">
        <v>240</v>
      </c>
      <c r="I30" t="s">
        <v>98</v>
      </c>
    </row>
    <row r="31" spans="1:9">
      <c r="H31">
        <v>320</v>
      </c>
      <c r="I31" t="s">
        <v>99</v>
      </c>
    </row>
    <row r="32" spans="1:9">
      <c r="H32">
        <v>400</v>
      </c>
      <c r="I32" t="s">
        <v>100</v>
      </c>
    </row>
    <row r="33" spans="8:9">
      <c r="H33">
        <v>480</v>
      </c>
      <c r="I33" t="s">
        <v>101</v>
      </c>
    </row>
    <row r="34" spans="8:9">
      <c r="H34">
        <v>640</v>
      </c>
      <c r="I34" t="s">
        <v>102</v>
      </c>
    </row>
    <row r="35" spans="8:9">
      <c r="H35">
        <v>800</v>
      </c>
      <c r="I35" t="s">
        <v>103</v>
      </c>
    </row>
    <row r="36" spans="8:9">
      <c r="H36">
        <v>1200</v>
      </c>
      <c r="I36" t="s">
        <v>104</v>
      </c>
    </row>
    <row r="37" spans="8:9">
      <c r="H37">
        <v>1600</v>
      </c>
      <c r="I37" t="s">
        <v>105</v>
      </c>
    </row>
    <row r="38" spans="8:9">
      <c r="H38">
        <v>2400</v>
      </c>
      <c r="I38" t="s">
        <v>106</v>
      </c>
    </row>
    <row r="39" spans="8:9">
      <c r="H39">
        <v>3200</v>
      </c>
      <c r="I39" t="s">
        <v>107</v>
      </c>
    </row>
    <row r="40" spans="8:9">
      <c r="H40">
        <v>4000</v>
      </c>
      <c r="I40" t="s">
        <v>108</v>
      </c>
    </row>
  </sheetData>
  <phoneticPr fontId="0" type="noConversion"/>
  <pageMargins left="0.78740157499999996" right="0.78740157499999996" top="0.984251969" bottom="0.984251969" header="0.5" footer="0.5"/>
  <pageSetup paperSize="9"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12</vt:i4>
      </vt:variant>
      <vt:variant>
        <vt:lpstr>Navngitte områder</vt:lpstr>
      </vt:variant>
      <vt:variant>
        <vt:i4>30</vt:i4>
      </vt:variant>
    </vt:vector>
  </HeadingPairs>
  <TitlesOfParts>
    <vt:vector size="42" baseType="lpstr">
      <vt:lpstr>Introduksjon</vt:lpstr>
      <vt:lpstr>Varme</vt:lpstr>
      <vt:lpstr>3-rørs system</vt:lpstr>
      <vt:lpstr>Bereder</vt:lpstr>
      <vt:lpstr>Solar</vt:lpstr>
      <vt:lpstr>Tappevann</vt:lpstr>
      <vt:lpstr>Vannmengde</vt:lpstr>
      <vt:lpstr>Ekspansjon</vt:lpstr>
      <vt:lpstr>Kompressor-kar</vt:lpstr>
      <vt:lpstr>Diagram</vt:lpstr>
      <vt:lpstr>Data</vt:lpstr>
      <vt:lpstr>Variomat</vt:lpstr>
      <vt:lpstr>Variomat!Betingelser</vt:lpstr>
      <vt:lpstr>dPp</vt:lpstr>
      <vt:lpstr>Effekt</vt:lpstr>
      <vt:lpstr>Tappevann!ekspansjon</vt:lpstr>
      <vt:lpstr>ekspansjon</vt:lpstr>
      <vt:lpstr>'3-rørs system'!Ekspansjonbereder</vt:lpstr>
      <vt:lpstr>Tappevann!Ekspansjonbereder</vt:lpstr>
      <vt:lpstr>Ekspansjonbereder</vt:lpstr>
      <vt:lpstr>Tappevann!komptrykk</vt:lpstr>
      <vt:lpstr>komptrykk</vt:lpstr>
      <vt:lpstr>n</vt:lpstr>
      <vt:lpstr>P0</vt:lpstr>
      <vt:lpstr>Pd</vt:lpstr>
      <vt:lpstr>Pe</vt:lpstr>
      <vt:lpstr>Pst</vt:lpstr>
      <vt:lpstr>Psv</vt:lpstr>
      <vt:lpstr>Pumpeenhet</vt:lpstr>
      <vt:lpstr>sikkblåseventil</vt:lpstr>
      <vt:lpstr>sikkstatisk</vt:lpstr>
      <vt:lpstr>ta</vt:lpstr>
      <vt:lpstr>tv</vt:lpstr>
      <vt:lpstr>Varme!Utskriftsområde</vt:lpstr>
      <vt:lpstr>Variomat!Utvalg</vt:lpstr>
      <vt:lpstr>Va</vt:lpstr>
      <vt:lpstr>Tappevann!vannmengde</vt:lpstr>
      <vt:lpstr>vannmengde</vt:lpstr>
      <vt:lpstr>Variomat</vt:lpstr>
      <vt:lpstr>Ve</vt:lpstr>
      <vt:lpstr>Vk</vt:lpstr>
      <vt:lpstr>Vn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abs</dc:creator>
  <cp:lastModifiedBy>Fridtjov Juhler</cp:lastModifiedBy>
  <cp:lastPrinted>2009-03-31T11:53:50Z</cp:lastPrinted>
  <dcterms:created xsi:type="dcterms:W3CDTF">2009-03-25T21:53:35Z</dcterms:created>
  <dcterms:modified xsi:type="dcterms:W3CDTF">2021-01-19T12:22:09Z</dcterms:modified>
</cp:coreProperties>
</file>